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codeName="ThisWorkbook" defaultThemeVersion="124226"/>
  <bookViews>
    <workbookView xWindow="-105" yWindow="-105" windowWidth="19425" windowHeight="10425" tabRatio="838"/>
  </bookViews>
  <sheets>
    <sheet name="enterprise" sheetId="8" r:id="rId1"/>
    <sheet name="Propuesta" sheetId="11" r:id="rId2"/>
    <sheet name="COTIZACION" sheetId="1" state="hidden" r:id="rId3"/>
    <sheet name="Catalogos" sheetId="5" state="hidden" r:id="rId4"/>
  </sheets>
  <definedNames>
    <definedName name="_xlnm._FilterDatabase" localSheetId="3" hidden="1">Catalogos!$W$3:$AC$35</definedName>
    <definedName name="_xlnm.Print_Area" localSheetId="0">enterprise!$A$3:$AD$89</definedName>
    <definedName name="_xlnm.Print_Area" localSheetId="1">INDIRECT(Catalogos!$C$51)</definedName>
    <definedName name="Cat_Ejecutivos">Catalogos!$B$4:$B$4</definedName>
    <definedName name="Cat_Moneda">Catalogos!$E$25:$E$27</definedName>
    <definedName name="Cat_Montos_Tir_Minima">Catalogos!$B$37:$B$39</definedName>
    <definedName name="cat_montoTasa_1">Catalogos!$B$37</definedName>
    <definedName name="cat_montoTasa_2">Catalogos!$B$38</definedName>
    <definedName name="cat_montoTasa_3">Catalogos!$B$39</definedName>
    <definedName name="Cat_productos">Catalogos!$B$25:$B$27</definedName>
    <definedName name="Cat_PuntosAddRes">Catalogos!$H$25:$L$26</definedName>
    <definedName name="Cat_Ratificacion">Catalogos!$B$30:$C$33</definedName>
    <definedName name="Cat_ResPonderado">Catalogos!$H$20:$L$21</definedName>
    <definedName name="cat_tirminplazomn">Catalogos!$H$5:$L$12</definedName>
    <definedName name="cat_tirminplazous">Catalogos!$N$5:$R$12</definedName>
    <definedName name="Etiq_ComisionAperP">enterprise!$G$65</definedName>
    <definedName name="Etiq_Plazo">enterprise!$F$45</definedName>
    <definedName name="Etiq_RentaDepP">enterprise!$G$64</definedName>
    <definedName name="Etiq_RentaP">enterprise!$G$67</definedName>
    <definedName name="Etiq_RtasAntP">enterprise!#REF!</definedName>
    <definedName name="Etiq_Seguro">enterprise!$I$49</definedName>
    <definedName name="Field_AreaBusqueda">enterprise!$K$43:$AD$121</definedName>
    <definedName name="Field_BlindD_Monto_Puro_1">enterprise!$K$56</definedName>
    <definedName name="Field_BlindD_Monto_Puro_2">enterprise!$O$56</definedName>
    <definedName name="Field_BlindD_Monto_Puro_3">enterprise!$S$56</definedName>
    <definedName name="Field_BlindD_Monto_Puro_4">enterprise!$W$56</definedName>
    <definedName name="Field_BlindD_Monto_Puro_5">enterprise!$AA$56</definedName>
    <definedName name="Field_BlindDFin_1">enterprise!$K$84</definedName>
    <definedName name="Field_BlindDFin_2">enterprise!$O$84</definedName>
    <definedName name="Field_BlindDFin_3">enterprise!$S$84</definedName>
    <definedName name="Field_BlindDFin_4">enterprise!$W$84</definedName>
    <definedName name="Field_BlindDFin_5">enterprise!$AA$84</definedName>
    <definedName name="Field_BlindDMonto_F1">enterprise!$K$85</definedName>
    <definedName name="Field_BlindDMonto_F2">enterprise!$O$85</definedName>
    <definedName name="Field_BlindDMonto_F3">enterprise!$S$85</definedName>
    <definedName name="Field_BlindDMonto_F4">enterprise!$W$85</definedName>
    <definedName name="Field_BlindDMonto_F5">enterprise!$AA$85</definedName>
    <definedName name="Field_BlindDPc_1">enterprise!$K$55</definedName>
    <definedName name="Field_BlindDPc_2">enterprise!$O$55</definedName>
    <definedName name="Field_BlindDPc_3">enterprise!$S$55</definedName>
    <definedName name="Field_BlindDPc_4">enterprise!$W$55</definedName>
    <definedName name="Field_BlindDPc_5">enterprise!$AA$55</definedName>
    <definedName name="Field_BolCalcula">enterprise!$A$3</definedName>
    <definedName name="Field_Cliente">enterprise!$K$8</definedName>
    <definedName name="Field_ComisionAp_F1">enterprise!$K$90</definedName>
    <definedName name="Field_ComisionAp_F2">enterprise!$O$90</definedName>
    <definedName name="Field_ComisionAp_F3">enterprise!$S$90</definedName>
    <definedName name="Field_ComisionAp_F4">enterprise!$W$90</definedName>
    <definedName name="Field_ComisionAp_F5">enterprise!$AA$90</definedName>
    <definedName name="Field_ComisionAp_P1">enterprise!$K$65</definedName>
    <definedName name="Field_ComisionAp_P2">enterprise!$O$65</definedName>
    <definedName name="Field_ComisionAp_P3">enterprise!$S$65</definedName>
    <definedName name="Field_ComisionAp_P4">enterprise!$W$65</definedName>
    <definedName name="Field_ComisionAp_P5">enterprise!$AA$65</definedName>
    <definedName name="Field_ComisionAp_S1">enterprise!$K$108</definedName>
    <definedName name="Field_ComisionAp_S2">enterprise!$O$108</definedName>
    <definedName name="Field_ComisionAp_S3">enterprise!$S$108</definedName>
    <definedName name="Field_ComisionAp_S4">enterprise!$W$108</definedName>
    <definedName name="Field_ComisionAp_S5">enterprise!$AA$108</definedName>
    <definedName name="Field_Contacto">enterprise!$K$10</definedName>
    <definedName name="Field_DesembolsoIni_F1">enterprise!#REF!</definedName>
    <definedName name="Field_DesembolsoIni_F2">enterprise!#REF!</definedName>
    <definedName name="Field_DesembolsoIni_F3">enterprise!#REF!</definedName>
    <definedName name="Field_DesembolsoIni_F4">enterprise!#REF!</definedName>
    <definedName name="Field_DesembolsoIni_F5">enterprise!#REF!</definedName>
    <definedName name="Field_DesembolsoIni_P1">enterprise!#REF!</definedName>
    <definedName name="Field_DesembolsoIni_P2">enterprise!#REF!</definedName>
    <definedName name="Field_DesembolsoIni_P3">enterprise!#REF!</definedName>
    <definedName name="Field_DesembolsoIni_P4">enterprise!#REF!</definedName>
    <definedName name="Field_DesembolsoIni_P5">enterprise!#REF!</definedName>
    <definedName name="Field_Ejecutivo">enterprise!$K$12</definedName>
    <definedName name="Field_Enganche_All_1">enterprise!#REF!</definedName>
    <definedName name="Field_Enganche_All_2">enterprise!#REF!</definedName>
    <definedName name="Field_Enganche_All_3">enterprise!#REF!</definedName>
    <definedName name="Field_Enganche_All_4">enterprise!#REF!</definedName>
    <definedName name="Field_Enganche_All_5">enterprise!#REF!</definedName>
    <definedName name="Field_Enganche_Monto_F1">enterprise!$K$83</definedName>
    <definedName name="Field_Enganche_Monto_F2">enterprise!$O$83</definedName>
    <definedName name="Field_Enganche_Monto_F3">enterprise!$S$83</definedName>
    <definedName name="Field_Enganche_Monto_F4">enterprise!$W$83</definedName>
    <definedName name="Field_Enganche_Monto_F5">enterprise!$AA$83</definedName>
    <definedName name="Field_Enganche_Monto_Puro_1">enterprise!$K$54</definedName>
    <definedName name="Field_Enganche_Monto_Puro_2">enterprise!$O$54</definedName>
    <definedName name="Field_Enganche_Monto_Puro_3">enterprise!$S$54</definedName>
    <definedName name="Field_Enganche_Monto_Puro_4">enterprise!$W$54</definedName>
    <definedName name="Field_Enganche_Monto_Puro_5">enterprise!$AA$54</definedName>
    <definedName name="Field_Enganche_Monto_S1">enterprise!$K$104</definedName>
    <definedName name="Field_Enganche_Monto_S2">enterprise!$O$104</definedName>
    <definedName name="Field_Enganche_Monto_S3">enterprise!$S$104</definedName>
    <definedName name="Field_Enganche_Monto_S4">enterprise!$W$104</definedName>
    <definedName name="Field_Enganche_Monto_S5">enterprise!$AA$104</definedName>
    <definedName name="Field_Enganche_Porc_Fin_1">enterprise!$K$82</definedName>
    <definedName name="Field_Enganche_Porc_Fin_2">enterprise!$O$82</definedName>
    <definedName name="Field_Enganche_Porc_Fin_3">enterprise!$S$82</definedName>
    <definedName name="Field_Enganche_Porc_Fin_4">enterprise!$W$82</definedName>
    <definedName name="Field_Enganche_Porc_Fin_5">enterprise!$AA$82</definedName>
    <definedName name="Field_Enganche_Porc_Puro_1">enterprise!$K$53</definedName>
    <definedName name="Field_Enganche_Porc_Puro_2">enterprise!$O$53</definedName>
    <definedName name="Field_Enganche_Porc_Puro_3">enterprise!$S$53</definedName>
    <definedName name="Field_Enganche_Porc_Puro_4">enterprise!$W$53</definedName>
    <definedName name="Field_Enganche_Porc_Puro_5">enterprise!$AA$53</definedName>
    <definedName name="Field_Enganche_Simple_1">enterprise!$K$103</definedName>
    <definedName name="Field_Enganche_Simple_2">enterprise!$O$103</definedName>
    <definedName name="Field_Enganche_Simple_3">enterprise!$S$103</definedName>
    <definedName name="Field_Enganche_Simple_4">enterprise!$W$103</definedName>
    <definedName name="Field_Enganche_Simple_5">enterprise!$AA$103</definedName>
    <definedName name="Field_Equipo">enterprise!$M$30</definedName>
    <definedName name="field_equipo_1">enterprise!$K$47</definedName>
    <definedName name="field_equipo_2">enterprise!$O$47</definedName>
    <definedName name="field_equipo_3">enterprise!$S$47</definedName>
    <definedName name="field_equipo_4">enterprise!$W$47</definedName>
    <definedName name="field_equipo_5">enterprise!$AA$47</definedName>
    <definedName name="Field_EquipoMontoTotal">enterprise!$L$34</definedName>
    <definedName name="Field_EquipoMontoTotal_masIVA">enterprise!$X$34</definedName>
    <definedName name="Field_FactorRta_P1">enterprise!$K$69</definedName>
    <definedName name="Field_FactorRta_P2">enterprise!$O$69</definedName>
    <definedName name="Field_FactorRta_P3">enterprise!$S$69</definedName>
    <definedName name="Field_FactorRta_P4">enterprise!$W$69</definedName>
    <definedName name="Field_FactorRta_P5">enterprise!$AA$69</definedName>
    <definedName name="Field_FullPayOut">enterprise!$K$61</definedName>
    <definedName name="field_Gracia_F1">enterprise!#REF!</definedName>
    <definedName name="field_Gracia_F2">enterprise!#REF!</definedName>
    <definedName name="field_Gracia_F3">enterprise!#REF!</definedName>
    <definedName name="field_Gracia_F4">enterprise!#REF!</definedName>
    <definedName name="field_Gracia_F5">enterprise!#REF!</definedName>
    <definedName name="Field_Moneda">enterprise!$Z$39</definedName>
    <definedName name="Field_MonEq">enterprise!$Y$21</definedName>
    <definedName name="Field_MontoFinanciar_F1">enterprise!$K$86</definedName>
    <definedName name="Field_MontoFinanciar_F2">enterprise!$O$86</definedName>
    <definedName name="Field_MontoFinanciar_F3">enterprise!$S$86</definedName>
    <definedName name="Field_MontoFinanciar_F4">enterprise!$W$86</definedName>
    <definedName name="Field_MontoFinanciar_F5">enterprise!$AA$86</definedName>
    <definedName name="Field_MontoFinanciar_P1">enterprise!$K$57</definedName>
    <definedName name="Field_MontoFinanciar_P2">enterprise!$O$57</definedName>
    <definedName name="Field_MontoFinanciar_P3">enterprise!$S$57</definedName>
    <definedName name="Field_MontoFinanciar_P4">enterprise!$W$57</definedName>
    <definedName name="Field_MontoFinanciar_P5">enterprise!$AA$57</definedName>
    <definedName name="Field_MontoFinanciar_S1">enterprise!$K$105</definedName>
    <definedName name="Field_MontoFinanciar_S2">enterprise!$O$105</definedName>
    <definedName name="Field_MontoFinanciar_S3">enterprise!$S$105</definedName>
    <definedName name="Field_MontoFinanciar_S4">enterprise!$W$105</definedName>
    <definedName name="Field_MontoFinanciar_S5">enterprise!$AA$105</definedName>
    <definedName name="Field_Msg">enterprise!$O$3</definedName>
    <definedName name="Field_Num_PlazosSel">enterprise!$AE$43</definedName>
    <definedName name="field_NumPlazosSel">enterprise!$AE$43</definedName>
    <definedName name="Field_OpcionCompra_F1">enterprise!$K$91</definedName>
    <definedName name="Field_OpcionCompra_F2">enterprise!$O$91</definedName>
    <definedName name="Field_OpcionCompra_F3">enterprise!$S$91</definedName>
    <definedName name="Field_OpcionCompra_F4">enterprise!$W$91</definedName>
    <definedName name="Field_OpcionCompra_F5">enterprise!$AA$91</definedName>
    <definedName name="Field_OpcionCompra_S1">enterprise!#REF!</definedName>
    <definedName name="Field_OpcionCompra_S2">enterprise!#REF!</definedName>
    <definedName name="Field_OpcionCompra_S3">enterprise!#REF!</definedName>
    <definedName name="Field_OpcionCompra_S4">enterprise!#REF!</definedName>
    <definedName name="Field_OpcionCompra_S5">enterprise!#REF!</definedName>
    <definedName name="Field_OpcionCompraMonto_F1">enterprise!#REF!</definedName>
    <definedName name="Field_OpcionCompraMonto_F2">enterprise!#REF!</definedName>
    <definedName name="Field_OpcionCompraMonto_F3">enterprise!#REF!</definedName>
    <definedName name="Field_OpcionCompraMonto_F4">enterprise!#REF!</definedName>
    <definedName name="Field_OpcionCompraMonto_F5">enterprise!#REF!</definedName>
    <definedName name="Field_orden_Plazo_1">enterprise!$K$43</definedName>
    <definedName name="Field_orden_Plazo_2">enterprise!$O$43</definedName>
    <definedName name="Field_orden_Plazo_3">enterprise!$S$43</definedName>
    <definedName name="Field_orden_Plazo_4">enterprise!$W$43</definedName>
    <definedName name="Field_orden_Plazo_5">enterprise!$AA$43</definedName>
    <definedName name="Field_Plazo_Sel_1">enterprise!$K$44</definedName>
    <definedName name="Field_Plazo_Sel_2">enterprise!$O$44</definedName>
    <definedName name="Field_Plazo_Sel_3">enterprise!$S$44</definedName>
    <definedName name="Field_Plazo_Sel_4">enterprise!$W$44</definedName>
    <definedName name="Field_Plazo_Sel_5">enterprise!$AA$44</definedName>
    <definedName name="Field_Plazo1">enterprise!$K$45</definedName>
    <definedName name="Field_Plazo2">enterprise!$O$45</definedName>
    <definedName name="Field_Plazo3">enterprise!$S$45</definedName>
    <definedName name="Field_Plazo4">enterprise!$W$45</definedName>
    <definedName name="Field_Plazo5">enterprise!$AA$45</definedName>
    <definedName name="Field_PorcentajeIVA">enterprise!$B$2</definedName>
    <definedName name="Field_Pos_1">enterprise!$AI$43</definedName>
    <definedName name="Field_Pos_2">enterprise!$AJ$43</definedName>
    <definedName name="Field_Pos_3">enterprise!$AJ$44</definedName>
    <definedName name="Field_ProductoFinanciero">enterprise!$F$79</definedName>
    <definedName name="Field_ProductoPuro">enterprise!$F$52</definedName>
    <definedName name="Field_RatificacionFinanciero">enterprise!$AA$80</definedName>
    <definedName name="Field_RatificacionPuro">enterprise!$AA$61</definedName>
    <definedName name="Field_RatificacionSimple">enterprise!$AA$101</definedName>
    <definedName name="Field_Renta_F1">enterprise!$K$93</definedName>
    <definedName name="Field_Renta_F2">enterprise!$O$93</definedName>
    <definedName name="Field_Renta_F3">enterprise!$S$93</definedName>
    <definedName name="Field_Renta_F4">enterprise!$W$93</definedName>
    <definedName name="Field_Renta_F5">enterprise!$AA$93</definedName>
    <definedName name="Field_Renta_P1">enterprise!$K$67</definedName>
    <definedName name="Field_Renta_P2">enterprise!$O$67</definedName>
    <definedName name="Field_Renta_P3">enterprise!$S$67</definedName>
    <definedName name="Field_Renta_P4">enterprise!$W$67</definedName>
    <definedName name="Field_Renta_P5">enterprise!$AA$67</definedName>
    <definedName name="Field_Renta_S1">enterprise!$K$110</definedName>
    <definedName name="Field_Renta_S2">enterprise!$O$110</definedName>
    <definedName name="Field_Renta_S3">enterprise!$S$110</definedName>
    <definedName name="Field_Renta_S4">enterprise!$W$110</definedName>
    <definedName name="Field_Renta_S5">enterprise!$AA$110</definedName>
    <definedName name="Field_RentasAnt_P1">enterprise!#REF!</definedName>
    <definedName name="Field_RentasAnt_P2">enterprise!#REF!</definedName>
    <definedName name="Field_RentasAnt_p3">enterprise!#REF!</definedName>
    <definedName name="Field_RentasAnt_P4">enterprise!#REF!</definedName>
    <definedName name="Field_RentasAnt_P5">enterprise!#REF!</definedName>
    <definedName name="Field_RentasDep_1">enterprise!$K$64</definedName>
    <definedName name="Field_RentasDep_2">enterprise!$O$64</definedName>
    <definedName name="Field_RentasDep_3">enterprise!$S$64</definedName>
    <definedName name="Field_RentasDep_4">enterprise!$W$64</definedName>
    <definedName name="Field_RentasDep_5">enterprise!$AA$64</definedName>
    <definedName name="Field_RentasDep_F1">enterprise!$K$89</definedName>
    <definedName name="Field_RentasDep_F2">enterprise!$O$89</definedName>
    <definedName name="Field_RentasDep_F3">enterprise!$S$89</definedName>
    <definedName name="Field_RentasDep_F4">enterprise!$W$89</definedName>
    <definedName name="Field_RentasDep_F5">enterprise!$AA$89</definedName>
    <definedName name="Field_RentasDep_S1">enterprise!#REF!</definedName>
    <definedName name="Field_RentasDep_S2">enterprise!#REF!</definedName>
    <definedName name="Field_RentasDep_S3">enterprise!#REF!</definedName>
    <definedName name="Field_RentasDep_S4">enterprise!#REF!</definedName>
    <definedName name="Field_RentasDep_S5">enterprise!#REF!</definedName>
    <definedName name="Field_ResGar">enterprise!$S$61</definedName>
    <definedName name="Field_Residual_1">enterprise!$K$74</definedName>
    <definedName name="Field_Residual_2">enterprise!$O$74</definedName>
    <definedName name="Field_Residual_3">enterprise!$S$74</definedName>
    <definedName name="Field_Residual_4">enterprise!$W$74</definedName>
    <definedName name="Field_Residual_5">enterprise!$AA$74</definedName>
    <definedName name="Field_ResidualCte_1">enterprise!$K$63</definedName>
    <definedName name="Field_ResidualCte_2">enterprise!$O$63</definedName>
    <definedName name="Field_ResidualCte_3">enterprise!$S$63</definedName>
    <definedName name="Field_ResidualCte_4">enterprise!$W$63</definedName>
    <definedName name="Field_ResidualCte_5">enterprise!$AA$63</definedName>
    <definedName name="Field_ResidualVal_1">enterprise!$K$75</definedName>
    <definedName name="Field_ResidualVal_2">enterprise!$O$75</definedName>
    <definedName name="Field_ResidualVal_3">enterprise!$S$75</definedName>
    <definedName name="Field_ResidualVal_4">enterprise!$W$75</definedName>
    <definedName name="Field_ResidualVal_5">enterprise!$AA$75</definedName>
    <definedName name="Field_ResidualValcte_1">enterprise!$K$76</definedName>
    <definedName name="Field_ResidualValcte_2">enterprise!$O$76</definedName>
    <definedName name="Field_ResidualValcte_3">enterprise!$S$76</definedName>
    <definedName name="Field_ResidualValcte_4">enterprise!$W$76</definedName>
    <definedName name="Field_ResidualValcte_5">enterprise!$AA$76</definedName>
    <definedName name="Field_Seguro1">enterprise!$K$49</definedName>
    <definedName name="Field_Seguro2">enterprise!$O$49</definedName>
    <definedName name="Field_Seguro3">enterprise!$S$49</definedName>
    <definedName name="Field_Seguro4">enterprise!$W$49</definedName>
    <definedName name="Field_Seguro5">enterprise!$AA$49</definedName>
    <definedName name="Field_TasaEfec_Fin_1">enterprise!$K$95</definedName>
    <definedName name="Field_TasaEfec_Fin_2">enterprise!$O$95</definedName>
    <definedName name="Field_TasaEfec_Fin_3">enterprise!$S$95</definedName>
    <definedName name="Field_TasaEfec_Fin_4">enterprise!$W$95</definedName>
    <definedName name="Field_TasaEfec_Fin_5">enterprise!$AA$95</definedName>
    <definedName name="Field_TasaEfec_Puro_1">enterprise!$K$72</definedName>
    <definedName name="Field_TasaEfec_Puro_2">enterprise!$O$72</definedName>
    <definedName name="Field_TasaEfec_Puro_3">enterprise!$S$72</definedName>
    <definedName name="Field_TasaEfec_Puro_4">enterprise!$W$72</definedName>
    <definedName name="Field_TasaEfec_Puro_5">enterprise!$AA$72</definedName>
    <definedName name="Field_TasaEfec_Sim_1">enterprise!$K$112</definedName>
    <definedName name="Field_TasaEfec_Sim_2">enterprise!$O$112</definedName>
    <definedName name="Field_TasaEfec_Sim_3">enterprise!$S$112</definedName>
    <definedName name="Field_TasaEfec_Sim_4">enterprise!$W$112</definedName>
    <definedName name="Field_TasaEfec_Sim_5">enterprise!$AA$112</definedName>
    <definedName name="Field_TasaMin_fin_1">enterprise!$K$96</definedName>
    <definedName name="Field_TasaMin_fin_2">enterprise!$O$96</definedName>
    <definedName name="Field_TasaMin_fin_3">enterprise!$S$96</definedName>
    <definedName name="Field_TasaMin_fin_4">enterprise!$W$96</definedName>
    <definedName name="Field_TasaMin_fin_5">enterprise!$AA$96</definedName>
    <definedName name="Field_TasaMin_Puro_1">enterprise!$K$73</definedName>
    <definedName name="Field_TasaMin_Puro_2">enterprise!$O$73</definedName>
    <definedName name="Field_TasaMin_Puro_3">enterprise!$S$73</definedName>
    <definedName name="Field_TasaMin_Puro_4">enterprise!$W$73</definedName>
    <definedName name="Field_TasaMin_Puro_5">enterprise!$AA$73</definedName>
    <definedName name="Field_TasaMin_S1">enterprise!$K$113</definedName>
    <definedName name="Field_TasaMin_S2">enterprise!$O$113</definedName>
    <definedName name="Field_TasaMin_S3">enterprise!$S$113</definedName>
    <definedName name="Field_TasaMin_S4">enterprise!$W$113</definedName>
    <definedName name="Field_TasaMin_S5">enterprise!$AA$113</definedName>
    <definedName name="Field_TasaNom_Fin_1">enterprise!$K$88</definedName>
    <definedName name="Field_TasaNom_Fin_2">enterprise!$O$88</definedName>
    <definedName name="Field_TasaNom_Fin_3">enterprise!$S$88</definedName>
    <definedName name="Field_TasaNom_Fin_4">enterprise!$W$88</definedName>
    <definedName name="Field_TasaNom_Fin_5">enterprise!$AA$88</definedName>
    <definedName name="Field_TasaNom_Puro_1">enterprise!$K$71</definedName>
    <definedName name="Field_TasaNom_Puro_2">enterprise!$O$71</definedName>
    <definedName name="Field_TasaNom_Puro_3">enterprise!$S$71</definedName>
    <definedName name="Field_TasaNom_Puro_4">enterprise!$W$71</definedName>
    <definedName name="Field_TasaNom_Puro_5">enterprise!$AA$71</definedName>
    <definedName name="Field_TasaNom_Sim_1">enterprise!$K$107</definedName>
    <definedName name="Field_TasaNom_Sim_2">enterprise!$O$107</definedName>
    <definedName name="Field_TasaNom_Sim_3">enterprise!$S$107</definedName>
    <definedName name="Field_TasaNom_Sim_4">enterprise!$W$107</definedName>
    <definedName name="Field_TasaNom_Sim_5">enterprise!$AA$107</definedName>
    <definedName name="Field_TC">enterprise!$Y$23</definedName>
    <definedName name="Field_TipoCliente">enterprise!#REF!</definedName>
    <definedName name="Field_TipoEquipo">enterprise!$J$21</definedName>
    <definedName name="List_Equipos">Catalogos!$G$21:$G$35</definedName>
    <definedName name="Rango_DatosPuro">enterprise!$G$52:$G$69</definedName>
    <definedName name="Rango_OrdenPlazos">enterprise!$K$43:$AA$43</definedName>
  </definedNames>
  <calcPr calcId="145621"/>
</workbook>
</file>

<file path=xl/calcChain.xml><?xml version="1.0" encoding="utf-8"?>
<calcChain xmlns="http://schemas.openxmlformats.org/spreadsheetml/2006/main">
  <c r="AF161" i="11" l="1"/>
  <c r="Z161" i="11"/>
  <c r="AF160" i="11"/>
  <c r="AB160" i="11"/>
  <c r="G160" i="11"/>
  <c r="D160" i="11"/>
  <c r="AF159" i="11"/>
  <c r="AB159" i="11"/>
  <c r="G159" i="11"/>
  <c r="D159" i="11"/>
  <c r="AF158" i="11"/>
  <c r="AB158" i="11"/>
  <c r="G158" i="11"/>
  <c r="D158" i="11"/>
  <c r="AF157" i="11"/>
  <c r="AB157" i="11"/>
  <c r="G157" i="11"/>
  <c r="D157" i="11"/>
  <c r="AF156" i="11"/>
  <c r="AB156" i="11"/>
  <c r="AF95" i="11"/>
  <c r="AB90" i="11"/>
  <c r="AF90" i="11"/>
  <c r="AB91" i="11"/>
  <c r="AF91" i="11"/>
  <c r="AB92" i="11"/>
  <c r="AF92" i="11"/>
  <c r="AB93" i="11"/>
  <c r="AF93" i="11"/>
  <c r="AB94" i="11"/>
  <c r="AF94" i="11"/>
  <c r="Z95" i="11"/>
  <c r="G94" i="11"/>
  <c r="D94" i="11"/>
  <c r="G93" i="11"/>
  <c r="D93" i="11"/>
  <c r="G92" i="11"/>
  <c r="D92" i="11"/>
  <c r="G91" i="11"/>
  <c r="D91" i="11"/>
  <c r="G32" i="11"/>
  <c r="G31" i="11"/>
  <c r="G30" i="11"/>
  <c r="G29" i="11"/>
  <c r="D32" i="11"/>
  <c r="D31" i="11"/>
  <c r="D30" i="11"/>
  <c r="D29" i="11"/>
  <c r="AB28" i="11"/>
  <c r="AB29" i="11"/>
  <c r="AB30" i="11"/>
  <c r="AB31" i="11"/>
  <c r="AB32" i="11"/>
  <c r="Y139" i="11"/>
  <c r="Y138" i="11"/>
  <c r="Y137" i="11"/>
  <c r="Y73" i="11"/>
  <c r="Y72" i="11"/>
  <c r="Y71" i="11"/>
  <c r="Y10" i="11"/>
  <c r="Y9" i="11"/>
  <c r="Y8" i="11"/>
  <c r="M29" i="8"/>
  <c r="T94" i="11" s="1"/>
  <c r="M28" i="8"/>
  <c r="T159" i="11" s="1"/>
  <c r="K29" i="8"/>
  <c r="P32" i="11" s="1"/>
  <c r="K28" i="8"/>
  <c r="P31" i="11" s="1"/>
  <c r="K27" i="8"/>
  <c r="M27" i="8" s="1"/>
  <c r="T158" i="11" s="1"/>
  <c r="K26" i="8"/>
  <c r="P157" i="11" s="1"/>
  <c r="H30" i="5"/>
  <c r="H31" i="5"/>
  <c r="H32" i="5"/>
  <c r="H33" i="5"/>
  <c r="H29" i="5"/>
  <c r="P93" i="11" l="1"/>
  <c r="T93" i="11"/>
  <c r="P160" i="11"/>
  <c r="P91" i="11"/>
  <c r="T30" i="11"/>
  <c r="T160" i="11"/>
  <c r="T31" i="11"/>
  <c r="P159" i="11"/>
  <c r="T32" i="11"/>
  <c r="P92" i="11"/>
  <c r="P94" i="11"/>
  <c r="P29" i="11"/>
  <c r="T92" i="11"/>
  <c r="P158" i="11"/>
  <c r="P30" i="11"/>
  <c r="M26" i="8"/>
  <c r="AF155" i="11"/>
  <c r="AB155" i="11"/>
  <c r="D155" i="11"/>
  <c r="AF27" i="11"/>
  <c r="AF89" i="11"/>
  <c r="AB89" i="11"/>
  <c r="D89" i="11"/>
  <c r="AB27" i="11"/>
  <c r="D27" i="11"/>
  <c r="Z33" i="11"/>
  <c r="T91" i="11" l="1"/>
  <c r="T29" i="11"/>
  <c r="T157" i="11"/>
  <c r="M30" i="8"/>
  <c r="T95" i="11" l="1"/>
  <c r="T161" i="11"/>
  <c r="T33" i="11"/>
  <c r="L34" i="8"/>
  <c r="X151" i="11"/>
  <c r="V150" i="11"/>
  <c r="T162" i="11" l="1"/>
  <c r="T163" i="11" s="1"/>
  <c r="C51" i="5"/>
  <c r="X35" i="5"/>
  <c r="X34" i="5"/>
  <c r="X33" i="5"/>
  <c r="X32" i="5"/>
  <c r="X31" i="5"/>
  <c r="X30" i="5"/>
  <c r="X29" i="5"/>
  <c r="X28" i="5"/>
  <c r="X27" i="5"/>
  <c r="X26" i="5"/>
  <c r="X25" i="5"/>
  <c r="X24" i="5"/>
  <c r="X23" i="5"/>
  <c r="X22" i="5"/>
  <c r="X21" i="5"/>
  <c r="X20" i="5"/>
  <c r="L20" i="5"/>
  <c r="L25" i="5" s="1"/>
  <c r="K20" i="5"/>
  <c r="J20" i="5"/>
  <c r="J25" i="5" s="1"/>
  <c r="I20" i="5"/>
  <c r="I25" i="5" s="1"/>
  <c r="H20" i="5"/>
  <c r="H25" i="5" s="1"/>
  <c r="X19" i="5"/>
  <c r="X18" i="5"/>
  <c r="X17" i="5"/>
  <c r="X16" i="5"/>
  <c r="X15" i="5"/>
  <c r="X14" i="5"/>
  <c r="X13" i="5"/>
  <c r="X12" i="5"/>
  <c r="X11" i="5"/>
  <c r="X10" i="5"/>
  <c r="X9" i="5"/>
  <c r="X8" i="5"/>
  <c r="X7" i="5"/>
  <c r="X6" i="5"/>
  <c r="X5" i="5"/>
  <c r="X4" i="5"/>
  <c r="O33" i="1"/>
  <c r="N33" i="1"/>
  <c r="M33" i="1"/>
  <c r="L33" i="1"/>
  <c r="K33" i="1"/>
  <c r="G33" i="1"/>
  <c r="F33" i="1"/>
  <c r="E33" i="1"/>
  <c r="D33" i="1"/>
  <c r="C33" i="1"/>
  <c r="G29" i="1"/>
  <c r="F29" i="1"/>
  <c r="E29" i="1"/>
  <c r="D29" i="1"/>
  <c r="C29" i="1"/>
  <c r="G22" i="1"/>
  <c r="F22" i="1"/>
  <c r="E22" i="1"/>
  <c r="D22" i="1"/>
  <c r="C22" i="1"/>
  <c r="O20" i="1"/>
  <c r="N20" i="1"/>
  <c r="M20" i="1"/>
  <c r="L20" i="1"/>
  <c r="K20" i="1"/>
  <c r="O17" i="1"/>
  <c r="N17" i="1"/>
  <c r="M17" i="1"/>
  <c r="L17" i="1"/>
  <c r="K17" i="1"/>
  <c r="G17" i="1"/>
  <c r="F17" i="1"/>
  <c r="E17" i="1"/>
  <c r="D17" i="1"/>
  <c r="C17" i="1"/>
  <c r="W12" i="1"/>
  <c r="V12" i="1"/>
  <c r="U12" i="1"/>
  <c r="T12" i="1"/>
  <c r="S12" i="1"/>
  <c r="O12" i="1"/>
  <c r="N12" i="1"/>
  <c r="M12" i="1"/>
  <c r="L12" i="1"/>
  <c r="K12" i="1"/>
  <c r="G12" i="1"/>
  <c r="F12" i="1"/>
  <c r="E12" i="1"/>
  <c r="D12" i="1"/>
  <c r="C12" i="1"/>
  <c r="W8" i="1"/>
  <c r="V8" i="1"/>
  <c r="U8" i="1"/>
  <c r="T8" i="1"/>
  <c r="S8" i="1"/>
  <c r="O8" i="1"/>
  <c r="N8" i="1"/>
  <c r="M8" i="1"/>
  <c r="L8" i="1"/>
  <c r="K8" i="1"/>
  <c r="G8" i="1"/>
  <c r="F8" i="1"/>
  <c r="E8" i="1"/>
  <c r="D8" i="1"/>
  <c r="C8" i="1"/>
  <c r="W7" i="1"/>
  <c r="V7" i="1"/>
  <c r="U7" i="1"/>
  <c r="T7" i="1"/>
  <c r="S7" i="1"/>
  <c r="O7" i="1"/>
  <c r="N7" i="1"/>
  <c r="M7" i="1"/>
  <c r="L7" i="1"/>
  <c r="K7" i="1"/>
  <c r="G7" i="1"/>
  <c r="F7" i="1"/>
  <c r="E7" i="1"/>
  <c r="C7" i="1"/>
  <c r="W5" i="1"/>
  <c r="V5" i="1"/>
  <c r="V110" i="1" s="1"/>
  <c r="U5" i="1"/>
  <c r="U109" i="1" s="1"/>
  <c r="T5" i="1"/>
  <c r="T94" i="1" s="1"/>
  <c r="S5" i="1"/>
  <c r="S95" i="1" s="1"/>
  <c r="O5" i="1"/>
  <c r="N5" i="1"/>
  <c r="M5" i="1"/>
  <c r="L5" i="1"/>
  <c r="K5" i="1"/>
  <c r="K92" i="1" s="1"/>
  <c r="G5" i="1"/>
  <c r="F5" i="1"/>
  <c r="E5" i="1"/>
  <c r="D5" i="1"/>
  <c r="C5" i="1"/>
  <c r="S4" i="1"/>
  <c r="K4" i="1"/>
  <c r="C4" i="1"/>
  <c r="Q151" i="11"/>
  <c r="Q149" i="11"/>
  <c r="C144" i="11"/>
  <c r="AA142" i="11"/>
  <c r="Q84" i="11"/>
  <c r="Z83" i="11"/>
  <c r="Q83" i="11"/>
  <c r="Q82" i="11"/>
  <c r="C77" i="11"/>
  <c r="AA76" i="11"/>
  <c r="Q22" i="11"/>
  <c r="Z21" i="11"/>
  <c r="Q21" i="11"/>
  <c r="Q20" i="11"/>
  <c r="C15" i="11"/>
  <c r="AA13" i="11"/>
  <c r="C63" i="11"/>
  <c r="A117" i="8"/>
  <c r="AJ49" i="8" s="1"/>
  <c r="AA101" i="8"/>
  <c r="AA80" i="8"/>
  <c r="AA61" i="8"/>
  <c r="AA44" i="8"/>
  <c r="AA43" i="8" s="1"/>
  <c r="W44" i="8"/>
  <c r="W43" i="8" s="1"/>
  <c r="S44" i="8"/>
  <c r="S43" i="8" s="1"/>
  <c r="O44" i="8"/>
  <c r="O43" i="8" s="1"/>
  <c r="K44" i="8"/>
  <c r="K117" i="8" s="1"/>
  <c r="K43" i="8"/>
  <c r="AC34" i="8"/>
  <c r="P34" i="8"/>
  <c r="U6" i="1"/>
  <c r="A4" i="5"/>
  <c r="AE43" i="8" l="1"/>
  <c r="L44" i="11" s="1"/>
  <c r="C93" i="1"/>
  <c r="N109" i="1"/>
  <c r="L97" i="1"/>
  <c r="S104" i="1"/>
  <c r="M110" i="1"/>
  <c r="D92" i="1"/>
  <c r="C108" i="1"/>
  <c r="S77" i="1"/>
  <c r="T78" i="1"/>
  <c r="D84" i="1"/>
  <c r="K105" i="1"/>
  <c r="T88" i="1"/>
  <c r="C94" i="1"/>
  <c r="E109" i="1"/>
  <c r="D94" i="1"/>
  <c r="F110" i="1"/>
  <c r="K69" i="1"/>
  <c r="S97" i="1"/>
  <c r="S69" i="1"/>
  <c r="V101" i="1"/>
  <c r="K84" i="1"/>
  <c r="C102" i="1"/>
  <c r="N108" i="1"/>
  <c r="C72" i="1"/>
  <c r="C79" i="1"/>
  <c r="S85" i="1"/>
  <c r="S89" i="1"/>
  <c r="U94" i="1"/>
  <c r="K99" i="1"/>
  <c r="N102" i="1"/>
  <c r="V105" i="1"/>
  <c r="S108" i="1"/>
  <c r="K72" i="1"/>
  <c r="D80" i="1"/>
  <c r="T86" i="1"/>
  <c r="K91" i="1"/>
  <c r="C95" i="1"/>
  <c r="V99" i="1"/>
  <c r="S102" i="1"/>
  <c r="C106" i="1"/>
  <c r="K109" i="1"/>
  <c r="AA74" i="8"/>
  <c r="G20" i="1" s="1"/>
  <c r="K74" i="8"/>
  <c r="C20" i="1" s="1"/>
  <c r="C64" i="1"/>
  <c r="S74" i="1"/>
  <c r="K80" i="1"/>
  <c r="C87" i="1"/>
  <c r="E92" i="1"/>
  <c r="T95" i="1"/>
  <c r="C100" i="1"/>
  <c r="K103" i="1"/>
  <c r="N106" i="1"/>
  <c r="V109" i="1"/>
  <c r="O74" i="8"/>
  <c r="D20" i="1" s="1"/>
  <c r="K64" i="1"/>
  <c r="C75" i="1"/>
  <c r="S81" i="1"/>
  <c r="T87" i="1"/>
  <c r="U95" i="1"/>
  <c r="N100" i="1"/>
  <c r="V103" i="1"/>
  <c r="S106" i="1"/>
  <c r="C110" i="1"/>
  <c r="M97" i="1"/>
  <c r="M89" i="1"/>
  <c r="S74" i="8"/>
  <c r="K98" i="1"/>
  <c r="S66" i="1"/>
  <c r="D76" i="1"/>
  <c r="T82" i="1"/>
  <c r="U87" i="1"/>
  <c r="D93" i="1"/>
  <c r="S96" i="1"/>
  <c r="S100" i="1"/>
  <c r="C104" i="1"/>
  <c r="K107" i="1"/>
  <c r="N110" i="1"/>
  <c r="F105" i="1"/>
  <c r="C67" i="1"/>
  <c r="K76" i="1"/>
  <c r="C83" i="1"/>
  <c r="S88" i="1"/>
  <c r="E93" i="1"/>
  <c r="T96" i="1"/>
  <c r="K101" i="1"/>
  <c r="N104" i="1"/>
  <c r="V107" i="1"/>
  <c r="S110" i="1"/>
  <c r="L85" i="1"/>
  <c r="L98" i="1"/>
  <c r="F107" i="1"/>
  <c r="F109" i="1"/>
  <c r="S64" i="1"/>
  <c r="K67" i="1"/>
  <c r="C70" i="1"/>
  <c r="S72" i="1"/>
  <c r="D75" i="1"/>
  <c r="L76" i="1"/>
  <c r="T77" i="1"/>
  <c r="D79" i="1"/>
  <c r="L80" i="1"/>
  <c r="T81" i="1"/>
  <c r="D83" i="1"/>
  <c r="L84" i="1"/>
  <c r="T85" i="1"/>
  <c r="D87" i="1"/>
  <c r="C88" i="1"/>
  <c r="U88" i="1"/>
  <c r="T89" i="1"/>
  <c r="S90" i="1"/>
  <c r="M91" i="1"/>
  <c r="L92" i="1"/>
  <c r="K93" i="1"/>
  <c r="E94" i="1"/>
  <c r="D95" i="1"/>
  <c r="C96" i="1"/>
  <c r="U96" i="1"/>
  <c r="T97" i="1"/>
  <c r="S98" i="1"/>
  <c r="L99" i="1"/>
  <c r="D100" i="1"/>
  <c r="T100" i="1"/>
  <c r="L101" i="1"/>
  <c r="D102" i="1"/>
  <c r="T102" i="1"/>
  <c r="L103" i="1"/>
  <c r="D104" i="1"/>
  <c r="T104" i="1"/>
  <c r="L105" i="1"/>
  <c r="D106" i="1"/>
  <c r="T106" i="1"/>
  <c r="L107" i="1"/>
  <c r="D108" i="1"/>
  <c r="T108" i="1"/>
  <c r="L109" i="1"/>
  <c r="D110" i="1"/>
  <c r="T110" i="1"/>
  <c r="K25" i="5"/>
  <c r="W74" i="8"/>
  <c r="W75" i="8" s="1"/>
  <c r="C65" i="1"/>
  <c r="S67" i="1"/>
  <c r="K70" i="1"/>
  <c r="C73" i="1"/>
  <c r="K75" i="1"/>
  <c r="S76" i="1"/>
  <c r="C78" i="1"/>
  <c r="K79" i="1"/>
  <c r="S80" i="1"/>
  <c r="C82" i="1"/>
  <c r="K83" i="1"/>
  <c r="S84" i="1"/>
  <c r="C86" i="1"/>
  <c r="E87" i="1"/>
  <c r="D88" i="1"/>
  <c r="C89" i="1"/>
  <c r="U89" i="1"/>
  <c r="T90" i="1"/>
  <c r="S91" i="1"/>
  <c r="M92" i="1"/>
  <c r="L93" i="1"/>
  <c r="K94" i="1"/>
  <c r="E95" i="1"/>
  <c r="D96" i="1"/>
  <c r="C97" i="1"/>
  <c r="U97" i="1"/>
  <c r="T98" i="1"/>
  <c r="M99" i="1"/>
  <c r="E100" i="1"/>
  <c r="U100" i="1"/>
  <c r="M101" i="1"/>
  <c r="E102" i="1"/>
  <c r="U102" i="1"/>
  <c r="M103" i="1"/>
  <c r="E104" i="1"/>
  <c r="U104" i="1"/>
  <c r="M105" i="1"/>
  <c r="E106" i="1"/>
  <c r="U106" i="1"/>
  <c r="M107" i="1"/>
  <c r="E108" i="1"/>
  <c r="U108" i="1"/>
  <c r="M109" i="1"/>
  <c r="E110" i="1"/>
  <c r="U110" i="1"/>
  <c r="L81" i="1"/>
  <c r="F103" i="1"/>
  <c r="K65" i="1"/>
  <c r="C68" i="1"/>
  <c r="S70" i="1"/>
  <c r="K73" i="1"/>
  <c r="L75" i="1"/>
  <c r="T76" i="1"/>
  <c r="D78" i="1"/>
  <c r="L79" i="1"/>
  <c r="T80" i="1"/>
  <c r="D82" i="1"/>
  <c r="L83" i="1"/>
  <c r="T84" i="1"/>
  <c r="D86" i="1"/>
  <c r="K87" i="1"/>
  <c r="E88" i="1"/>
  <c r="D89" i="1"/>
  <c r="C90" i="1"/>
  <c r="U90" i="1"/>
  <c r="T91" i="1"/>
  <c r="S92" i="1"/>
  <c r="M93" i="1"/>
  <c r="L94" i="1"/>
  <c r="K95" i="1"/>
  <c r="E96" i="1"/>
  <c r="D97" i="1"/>
  <c r="C98" i="1"/>
  <c r="U98" i="1"/>
  <c r="N99" i="1"/>
  <c r="F100" i="1"/>
  <c r="V100" i="1"/>
  <c r="N101" i="1"/>
  <c r="F102" i="1"/>
  <c r="V102" i="1"/>
  <c r="N103" i="1"/>
  <c r="F104" i="1"/>
  <c r="V104" i="1"/>
  <c r="N105" i="1"/>
  <c r="F106" i="1"/>
  <c r="V106" i="1"/>
  <c r="N107" i="1"/>
  <c r="F108" i="1"/>
  <c r="V108" i="1"/>
  <c r="M90" i="1"/>
  <c r="C63" i="1"/>
  <c r="S65" i="1"/>
  <c r="K68" i="1"/>
  <c r="C71" i="1"/>
  <c r="S73" i="1"/>
  <c r="S75" i="1"/>
  <c r="C77" i="1"/>
  <c r="K78" i="1"/>
  <c r="S79" i="1"/>
  <c r="C81" i="1"/>
  <c r="K82" i="1"/>
  <c r="S83" i="1"/>
  <c r="C85" i="1"/>
  <c r="K86" i="1"/>
  <c r="L87" i="1"/>
  <c r="K88" i="1"/>
  <c r="E89" i="1"/>
  <c r="D90" i="1"/>
  <c r="C91" i="1"/>
  <c r="U91" i="1"/>
  <c r="T92" i="1"/>
  <c r="S93" i="1"/>
  <c r="M94" i="1"/>
  <c r="L95" i="1"/>
  <c r="K96" i="1"/>
  <c r="E97" i="1"/>
  <c r="D98" i="1"/>
  <c r="C99" i="1"/>
  <c r="S99" i="1"/>
  <c r="K100" i="1"/>
  <c r="C101" i="1"/>
  <c r="S101" i="1"/>
  <c r="K102" i="1"/>
  <c r="C103" i="1"/>
  <c r="S103" i="1"/>
  <c r="K104" i="1"/>
  <c r="C105" i="1"/>
  <c r="S105" i="1"/>
  <c r="K106" i="1"/>
  <c r="C107" i="1"/>
  <c r="S107" i="1"/>
  <c r="K108" i="1"/>
  <c r="C109" i="1"/>
  <c r="S109" i="1"/>
  <c r="K110" i="1"/>
  <c r="L77" i="1"/>
  <c r="L90" i="1"/>
  <c r="L91" i="1"/>
  <c r="C128" i="11"/>
  <c r="K63" i="1"/>
  <c r="C66" i="1"/>
  <c r="S68" i="1"/>
  <c r="K71" i="1"/>
  <c r="C74" i="1"/>
  <c r="T75" i="1"/>
  <c r="D77" i="1"/>
  <c r="L78" i="1"/>
  <c r="T79" i="1"/>
  <c r="D81" i="1"/>
  <c r="L82" i="1"/>
  <c r="T83" i="1"/>
  <c r="D85" i="1"/>
  <c r="L86" i="1"/>
  <c r="M87" i="1"/>
  <c r="L88" i="1"/>
  <c r="K89" i="1"/>
  <c r="E90" i="1"/>
  <c r="D91" i="1"/>
  <c r="C92" i="1"/>
  <c r="U92" i="1"/>
  <c r="T93" i="1"/>
  <c r="S94" i="1"/>
  <c r="M95" i="1"/>
  <c r="L96" i="1"/>
  <c r="K97" i="1"/>
  <c r="E98" i="1"/>
  <c r="D99" i="1"/>
  <c r="T99" i="1"/>
  <c r="L100" i="1"/>
  <c r="D101" i="1"/>
  <c r="T101" i="1"/>
  <c r="L102" i="1"/>
  <c r="D103" i="1"/>
  <c r="T103" i="1"/>
  <c r="L104" i="1"/>
  <c r="D105" i="1"/>
  <c r="T105" i="1"/>
  <c r="L106" i="1"/>
  <c r="D107" i="1"/>
  <c r="T107" i="1"/>
  <c r="L108" i="1"/>
  <c r="D109" i="1"/>
  <c r="T109" i="1"/>
  <c r="L110" i="1"/>
  <c r="F99" i="1"/>
  <c r="F101" i="1"/>
  <c r="M98" i="1"/>
  <c r="S63" i="1"/>
  <c r="K66" i="1"/>
  <c r="C69" i="1"/>
  <c r="S71" i="1"/>
  <c r="K74" i="1"/>
  <c r="C76" i="1"/>
  <c r="K77" i="1"/>
  <c r="S78" i="1"/>
  <c r="C80" i="1"/>
  <c r="K81" i="1"/>
  <c r="S82" i="1"/>
  <c r="C84" i="1"/>
  <c r="K85" i="1"/>
  <c r="S86" i="1"/>
  <c r="S87" i="1"/>
  <c r="M88" i="1"/>
  <c r="L89" i="1"/>
  <c r="K90" i="1"/>
  <c r="E91" i="1"/>
  <c r="U93" i="1"/>
  <c r="M96" i="1"/>
  <c r="E99" i="1"/>
  <c r="U99" i="1"/>
  <c r="M100" i="1"/>
  <c r="E101" i="1"/>
  <c r="U101" i="1"/>
  <c r="M102" i="1"/>
  <c r="E103" i="1"/>
  <c r="U103" i="1"/>
  <c r="M104" i="1"/>
  <c r="E105" i="1"/>
  <c r="U105" i="1"/>
  <c r="M106" i="1"/>
  <c r="E107" i="1"/>
  <c r="U107" i="1"/>
  <c r="M108" i="1"/>
  <c r="K21" i="1"/>
  <c r="S83" i="8"/>
  <c r="M9" i="1" s="1"/>
  <c r="W47" i="8"/>
  <c r="O56" i="8"/>
  <c r="D34" i="1" s="1"/>
  <c r="K6" i="1"/>
  <c r="V6" i="1"/>
  <c r="C192" i="11"/>
  <c r="AA47" i="8"/>
  <c r="S56" i="8"/>
  <c r="E34" i="1" s="1"/>
  <c r="W83" i="8"/>
  <c r="N9" i="1" s="1"/>
  <c r="Q23" i="11"/>
  <c r="L6" i="1"/>
  <c r="W6" i="1"/>
  <c r="L21" i="1"/>
  <c r="K54" i="8"/>
  <c r="C9" i="1" s="1"/>
  <c r="W56" i="8"/>
  <c r="F34" i="1" s="1"/>
  <c r="AA83" i="8"/>
  <c r="O9" i="1" s="1"/>
  <c r="M6" i="1"/>
  <c r="M21" i="1"/>
  <c r="O152" i="11"/>
  <c r="C6" i="1"/>
  <c r="N6" i="1"/>
  <c r="N21" i="1"/>
  <c r="AA56" i="8"/>
  <c r="G34" i="1" s="1"/>
  <c r="K85" i="8"/>
  <c r="K34" i="1" s="1"/>
  <c r="O85" i="8"/>
  <c r="L34" i="1" s="1"/>
  <c r="D6" i="1"/>
  <c r="O6" i="1"/>
  <c r="O21" i="1"/>
  <c r="S54" i="8"/>
  <c r="E9" i="1" s="1"/>
  <c r="X34" i="8"/>
  <c r="K47" i="8"/>
  <c r="W54" i="8"/>
  <c r="F9" i="1" s="1"/>
  <c r="S85" i="8"/>
  <c r="M34" i="1" s="1"/>
  <c r="E6" i="1"/>
  <c r="S6" i="1"/>
  <c r="O54" i="8"/>
  <c r="D9" i="1" s="1"/>
  <c r="O47" i="8"/>
  <c r="AA54" i="8"/>
  <c r="K83" i="8"/>
  <c r="W85" i="8"/>
  <c r="N34" i="1" s="1"/>
  <c r="Q85" i="11"/>
  <c r="F6" i="1"/>
  <c r="T6" i="1"/>
  <c r="S47" i="8"/>
  <c r="K56" i="8"/>
  <c r="C34" i="1" s="1"/>
  <c r="O83" i="8"/>
  <c r="L9" i="1" s="1"/>
  <c r="AA85" i="8"/>
  <c r="O34" i="1" s="1"/>
  <c r="G6" i="1"/>
  <c r="AJ50" i="8"/>
  <c r="AJ47" i="8"/>
  <c r="B4" i="5"/>
  <c r="D4" i="5"/>
  <c r="A5" i="5"/>
  <c r="C4" i="5"/>
  <c r="E4" i="5"/>
  <c r="O104" i="8" l="1"/>
  <c r="T9" i="1" s="1"/>
  <c r="AA104" i="8"/>
  <c r="AA105" i="8" s="1"/>
  <c r="W104" i="8"/>
  <c r="V9" i="1" s="1"/>
  <c r="K104" i="8"/>
  <c r="S9" i="1" s="1"/>
  <c r="S104" i="8"/>
  <c r="U9" i="1" s="1"/>
  <c r="E20" i="1"/>
  <c r="S71" i="8"/>
  <c r="E28" i="1" s="1"/>
  <c r="K63" i="8"/>
  <c r="K76" i="8" s="1"/>
  <c r="N107" i="11"/>
  <c r="AJ43" i="8"/>
  <c r="AB44" i="11"/>
  <c r="AD44" i="11"/>
  <c r="T174" i="11"/>
  <c r="AJ44" i="8"/>
  <c r="AB107" i="11"/>
  <c r="AD174" i="11"/>
  <c r="T44" i="11"/>
  <c r="V174" i="11"/>
  <c r="V107" i="11"/>
  <c r="V44" i="11"/>
  <c r="N44" i="11"/>
  <c r="O63" i="8"/>
  <c r="D23" i="1" s="1"/>
  <c r="AB174" i="11"/>
  <c r="AD107" i="11"/>
  <c r="L107" i="11"/>
  <c r="N174" i="11"/>
  <c r="L174" i="11"/>
  <c r="AI43" i="8"/>
  <c r="T107" i="11"/>
  <c r="S63" i="8"/>
  <c r="S76" i="8" s="1"/>
  <c r="K75" i="8"/>
  <c r="C21" i="1" s="1"/>
  <c r="O75" i="8"/>
  <c r="D21" i="1" s="1"/>
  <c r="AA75" i="8"/>
  <c r="G21" i="1" s="1"/>
  <c r="S75" i="8"/>
  <c r="E21" i="1" s="1"/>
  <c r="AA63" i="8"/>
  <c r="G23" i="1" s="1"/>
  <c r="AA86" i="8"/>
  <c r="O10" i="1" s="1"/>
  <c r="F20" i="1"/>
  <c r="W63" i="8"/>
  <c r="S86" i="8"/>
  <c r="M10" i="1" s="1"/>
  <c r="W57" i="8"/>
  <c r="W73" i="8" s="1"/>
  <c r="W71" i="8" s="1"/>
  <c r="F28" i="1" s="1"/>
  <c r="K57" i="8"/>
  <c r="C10" i="1" s="1"/>
  <c r="K86" i="8"/>
  <c r="K9" i="1"/>
  <c r="S57" i="8"/>
  <c r="O57" i="8"/>
  <c r="W86" i="8"/>
  <c r="AA57" i="8"/>
  <c r="G9" i="1"/>
  <c r="K73" i="8"/>
  <c r="K71" i="8" s="1"/>
  <c r="C28" i="1" s="1"/>
  <c r="O86" i="8"/>
  <c r="Q86" i="11"/>
  <c r="Q24" i="11"/>
  <c r="F21" i="1"/>
  <c r="E5" i="5"/>
  <c r="D5" i="5"/>
  <c r="C5" i="5"/>
  <c r="B5" i="5"/>
  <c r="T165" i="11"/>
  <c r="T38" i="11"/>
  <c r="AD169" i="11"/>
  <c r="T175" i="11"/>
  <c r="AB48" i="11"/>
  <c r="AB111" i="11"/>
  <c r="T173" i="11"/>
  <c r="L105" i="11"/>
  <c r="T111" i="11"/>
  <c r="L38" i="11"/>
  <c r="L111" i="11"/>
  <c r="L36" i="11"/>
  <c r="AB165" i="11"/>
  <c r="L165" i="11"/>
  <c r="T108" i="11"/>
  <c r="AB45" i="11"/>
  <c r="T45" i="11"/>
  <c r="T106" i="11"/>
  <c r="L106" i="11"/>
  <c r="T36" i="11"/>
  <c r="AB108" i="11"/>
  <c r="AD101" i="11"/>
  <c r="A6" i="5"/>
  <c r="AB105" i="11"/>
  <c r="L173" i="11"/>
  <c r="L98" i="11"/>
  <c r="L48" i="11"/>
  <c r="AB98" i="11"/>
  <c r="AD168" i="11"/>
  <c r="T98" i="11"/>
  <c r="T105" i="11"/>
  <c r="V169" i="11"/>
  <c r="L175" i="11"/>
  <c r="AB106" i="11"/>
  <c r="L43" i="11"/>
  <c r="AB173" i="11"/>
  <c r="AB175" i="11"/>
  <c r="AB43" i="11"/>
  <c r="AB42" i="11"/>
  <c r="AB36" i="11"/>
  <c r="V168" i="11"/>
  <c r="N101" i="11"/>
  <c r="T42" i="11"/>
  <c r="L172" i="11"/>
  <c r="L45" i="11"/>
  <c r="L42" i="11"/>
  <c r="T172" i="11"/>
  <c r="N168" i="11"/>
  <c r="T43" i="11"/>
  <c r="L108" i="11"/>
  <c r="AB172" i="11"/>
  <c r="AB38" i="11"/>
  <c r="V101" i="11"/>
  <c r="W9" i="1" l="1"/>
  <c r="K105" i="8"/>
  <c r="K110" i="8" s="1"/>
  <c r="S105" i="8"/>
  <c r="S113" i="8" s="1"/>
  <c r="W105" i="8"/>
  <c r="W113" i="8" s="1"/>
  <c r="O105" i="8"/>
  <c r="O113" i="8" s="1"/>
  <c r="W67" i="8"/>
  <c r="W69" i="8" s="1"/>
  <c r="C23" i="1"/>
  <c r="AD108" i="11"/>
  <c r="AD105" i="11" s="1"/>
  <c r="AE98" i="11"/>
  <c r="AD45" i="11"/>
  <c r="AD42" i="11" s="1"/>
  <c r="AE165" i="11"/>
  <c r="AD175" i="11"/>
  <c r="AD172" i="11" s="1"/>
  <c r="AE36" i="11"/>
  <c r="V175" i="11"/>
  <c r="V172" i="11" s="1"/>
  <c r="V45" i="11"/>
  <c r="V42" i="11" s="1"/>
  <c r="W165" i="11"/>
  <c r="W98" i="11"/>
  <c r="W36" i="11"/>
  <c r="V108" i="11"/>
  <c r="V105" i="11" s="1"/>
  <c r="O76" i="8"/>
  <c r="S67" i="8"/>
  <c r="S69" i="8" s="1"/>
  <c r="C30" i="1"/>
  <c r="AA76" i="8"/>
  <c r="G24" i="1" s="1"/>
  <c r="G26" i="1" s="1"/>
  <c r="O36" i="11"/>
  <c r="N175" i="11"/>
  <c r="N172" i="11" s="1"/>
  <c r="N45" i="11"/>
  <c r="N42" i="11" s="1"/>
  <c r="N108" i="11"/>
  <c r="N105" i="11" s="1"/>
  <c r="O98" i="11"/>
  <c r="O165" i="11"/>
  <c r="E23" i="1"/>
  <c r="AA96" i="8"/>
  <c r="O28" i="1" s="1"/>
  <c r="O30" i="1" s="1"/>
  <c r="F10" i="1"/>
  <c r="F30" i="1" s="1"/>
  <c r="F72" i="1" s="1"/>
  <c r="F23" i="1"/>
  <c r="W76" i="8"/>
  <c r="F24" i="1" s="1"/>
  <c r="F26" i="1" s="1"/>
  <c r="S96" i="8"/>
  <c r="M28" i="1" s="1"/>
  <c r="M30" i="1" s="1"/>
  <c r="T10" i="1"/>
  <c r="T15" i="1" s="1"/>
  <c r="T14" i="1" s="1"/>
  <c r="K67" i="8"/>
  <c r="K69" i="8" s="1"/>
  <c r="L10" i="1"/>
  <c r="O96" i="8"/>
  <c r="O13" i="1"/>
  <c r="O15" i="1"/>
  <c r="O14" i="1" s="1"/>
  <c r="M13" i="1"/>
  <c r="M15" i="1"/>
  <c r="M14" i="1" s="1"/>
  <c r="O110" i="8"/>
  <c r="T28" i="1"/>
  <c r="N10" i="1"/>
  <c r="W96" i="8"/>
  <c r="U28" i="1"/>
  <c r="D10" i="1"/>
  <c r="O73" i="8"/>
  <c r="O71" i="8" s="1"/>
  <c r="D28" i="1" s="1"/>
  <c r="AA113" i="8"/>
  <c r="W10" i="1"/>
  <c r="C13" i="1"/>
  <c r="C15" i="1"/>
  <c r="C14" i="1" s="1"/>
  <c r="S73" i="8"/>
  <c r="E10" i="1"/>
  <c r="AA73" i="8"/>
  <c r="AA71" i="8" s="1"/>
  <c r="G28" i="1" s="1"/>
  <c r="G10" i="1"/>
  <c r="V10" i="1"/>
  <c r="K10" i="1"/>
  <c r="K96" i="8"/>
  <c r="C24" i="1"/>
  <c r="E24" i="1"/>
  <c r="E26" i="1" s="1"/>
  <c r="B6" i="5"/>
  <c r="E6" i="5"/>
  <c r="D6" i="5"/>
  <c r="C6" i="5"/>
  <c r="T48" i="11"/>
  <c r="L37" i="11"/>
  <c r="AB37" i="11"/>
  <c r="V102" i="11"/>
  <c r="N102" i="11"/>
  <c r="N169" i="11"/>
  <c r="AD102" i="11"/>
  <c r="A7" i="5"/>
  <c r="V167" i="11"/>
  <c r="S110" i="8" l="1"/>
  <c r="U10" i="1"/>
  <c r="U15" i="1" s="1"/>
  <c r="U14" i="1" s="1"/>
  <c r="K113" i="8"/>
  <c r="S10" i="1"/>
  <c r="S15" i="1" s="1"/>
  <c r="S14" i="1" s="1"/>
  <c r="O67" i="8"/>
  <c r="AA67" i="8"/>
  <c r="AA69" i="8" s="1"/>
  <c r="C55" i="1"/>
  <c r="C36" i="1"/>
  <c r="D24" i="1"/>
  <c r="D26" i="1" s="1"/>
  <c r="F15" i="1"/>
  <c r="F14" i="1" s="1"/>
  <c r="C47" i="1"/>
  <c r="C57" i="1"/>
  <c r="C40" i="1"/>
  <c r="C52" i="1"/>
  <c r="C49" i="1"/>
  <c r="C45" i="1"/>
  <c r="C59" i="1"/>
  <c r="C53" i="1"/>
  <c r="C60" i="1"/>
  <c r="C54" i="1"/>
  <c r="C31" i="1"/>
  <c r="C58" i="1"/>
  <c r="C43" i="1"/>
  <c r="C44" i="1"/>
  <c r="C61" i="1"/>
  <c r="C18" i="1"/>
  <c r="C38" i="1" s="1"/>
  <c r="C56" i="1"/>
  <c r="C48" i="1"/>
  <c r="C39" i="1"/>
  <c r="C42" i="1"/>
  <c r="C51" i="1"/>
  <c r="F13" i="1"/>
  <c r="AD43" i="11"/>
  <c r="AB41" i="11" s="1"/>
  <c r="C41" i="1"/>
  <c r="C46" i="1"/>
  <c r="T13" i="1"/>
  <c r="T38" i="1" s="1"/>
  <c r="AA93" i="8"/>
  <c r="T30" i="1"/>
  <c r="T47" i="1" s="1"/>
  <c r="S93" i="8"/>
  <c r="F56" i="1"/>
  <c r="F41" i="1"/>
  <c r="F90" i="1"/>
  <c r="F52" i="1"/>
  <c r="F51" i="1"/>
  <c r="F78" i="1"/>
  <c r="F98" i="1"/>
  <c r="F88" i="1"/>
  <c r="F66" i="1"/>
  <c r="F69" i="1"/>
  <c r="F71" i="1"/>
  <c r="F74" i="1"/>
  <c r="F64" i="1"/>
  <c r="F76" i="1"/>
  <c r="F53" i="1"/>
  <c r="F79" i="1"/>
  <c r="F86" i="1"/>
  <c r="F65" i="1"/>
  <c r="F96" i="1"/>
  <c r="F67" i="1"/>
  <c r="F31" i="1"/>
  <c r="F87" i="1"/>
  <c r="F94" i="1"/>
  <c r="F73" i="1"/>
  <c r="F70" i="1"/>
  <c r="F92" i="1"/>
  <c r="F68" i="1"/>
  <c r="F80" i="1"/>
  <c r="F42" i="1"/>
  <c r="F85" i="1"/>
  <c r="F95" i="1"/>
  <c r="F61" i="1"/>
  <c r="F44" i="1"/>
  <c r="F40" i="1"/>
  <c r="F39" i="1"/>
  <c r="F48" i="1"/>
  <c r="F46" i="1"/>
  <c r="F75" i="1"/>
  <c r="F89" i="1"/>
  <c r="F84" i="1"/>
  <c r="F77" i="1"/>
  <c r="F36" i="1"/>
  <c r="F82" i="1"/>
  <c r="F45" i="1"/>
  <c r="F81" i="1"/>
  <c r="F93" i="1"/>
  <c r="F47" i="1"/>
  <c r="F49" i="1"/>
  <c r="F43" i="1"/>
  <c r="F58" i="1"/>
  <c r="F54" i="1"/>
  <c r="F83" i="1"/>
  <c r="F97" i="1"/>
  <c r="F63" i="1"/>
  <c r="F18" i="1"/>
  <c r="F50" i="1"/>
  <c r="F59" i="1"/>
  <c r="F57" i="1"/>
  <c r="F60" i="1"/>
  <c r="F55" i="1"/>
  <c r="F62" i="1"/>
  <c r="F91" i="1"/>
  <c r="N43" i="11"/>
  <c r="L41" i="11" s="1"/>
  <c r="V173" i="11"/>
  <c r="T171" i="11" s="1"/>
  <c r="L28" i="1"/>
  <c r="L30" i="1" s="1"/>
  <c r="O93" i="8"/>
  <c r="K15" i="1"/>
  <c r="K14" i="1" s="1"/>
  <c r="K13" i="1"/>
  <c r="D13" i="1"/>
  <c r="D15" i="1"/>
  <c r="D14" i="1" s="1"/>
  <c r="D30" i="1"/>
  <c r="L15" i="1"/>
  <c r="L14" i="1" s="1"/>
  <c r="L13" i="1"/>
  <c r="K93" i="8"/>
  <c r="K28" i="1"/>
  <c r="K30" i="1" s="1"/>
  <c r="V15" i="1"/>
  <c r="V14" i="1" s="1"/>
  <c r="V13" i="1"/>
  <c r="V38" i="1" s="1"/>
  <c r="V28" i="1"/>
  <c r="V30" i="1" s="1"/>
  <c r="V31" i="1" s="1"/>
  <c r="W110" i="8"/>
  <c r="M76" i="1"/>
  <c r="M74" i="1"/>
  <c r="M59" i="1"/>
  <c r="M18" i="1"/>
  <c r="M38" i="1" s="1"/>
  <c r="M45" i="1"/>
  <c r="M71" i="1"/>
  <c r="M40" i="1"/>
  <c r="M41" i="1"/>
  <c r="M68" i="1"/>
  <c r="M66" i="1"/>
  <c r="M62" i="1"/>
  <c r="M81" i="1"/>
  <c r="M31" i="1"/>
  <c r="M70" i="1"/>
  <c r="M56" i="1"/>
  <c r="M85" i="1"/>
  <c r="M58" i="1"/>
  <c r="M52" i="1"/>
  <c r="M54" i="1"/>
  <c r="M72" i="1"/>
  <c r="M65" i="1"/>
  <c r="M67" i="1"/>
  <c r="M46" i="1"/>
  <c r="M77" i="1"/>
  <c r="M50" i="1"/>
  <c r="M49" i="1"/>
  <c r="M47" i="1"/>
  <c r="M63" i="1"/>
  <c r="M60" i="1"/>
  <c r="M69" i="1"/>
  <c r="M42" i="1"/>
  <c r="M64" i="1"/>
  <c r="M61" i="1"/>
  <c r="M53" i="1"/>
  <c r="M43" i="1"/>
  <c r="M84" i="1"/>
  <c r="M86" i="1"/>
  <c r="M83" i="1"/>
  <c r="M57" i="1"/>
  <c r="M80" i="1"/>
  <c r="M51" i="1"/>
  <c r="M39" i="1"/>
  <c r="M79" i="1"/>
  <c r="M75" i="1"/>
  <c r="M44" i="1"/>
  <c r="M73" i="1"/>
  <c r="M48" i="1"/>
  <c r="M55" i="1"/>
  <c r="M82" i="1"/>
  <c r="M78" i="1"/>
  <c r="O110" i="1"/>
  <c r="O87" i="1"/>
  <c r="O89" i="1"/>
  <c r="O84" i="1"/>
  <c r="O93" i="1"/>
  <c r="O54" i="1"/>
  <c r="O45" i="1"/>
  <c r="O48" i="1"/>
  <c r="O43" i="1"/>
  <c r="O57" i="1"/>
  <c r="O92" i="1"/>
  <c r="O63" i="1"/>
  <c r="O102" i="1"/>
  <c r="O79" i="1"/>
  <c r="O81" i="1"/>
  <c r="O76" i="1"/>
  <c r="O85" i="1"/>
  <c r="O47" i="1"/>
  <c r="O42" i="1"/>
  <c r="O107" i="1"/>
  <c r="O40" i="1"/>
  <c r="O41" i="1"/>
  <c r="O97" i="1"/>
  <c r="O64" i="1"/>
  <c r="O94" i="1"/>
  <c r="O71" i="1"/>
  <c r="O106" i="1"/>
  <c r="O68" i="1"/>
  <c r="O77" i="1"/>
  <c r="O67" i="1"/>
  <c r="O31" i="1"/>
  <c r="O65" i="1"/>
  <c r="O62" i="1"/>
  <c r="O101" i="1"/>
  <c r="O46" i="1"/>
  <c r="O86" i="1"/>
  <c r="O104" i="1"/>
  <c r="O98" i="1"/>
  <c r="O60" i="1"/>
  <c r="O69" i="1"/>
  <c r="O59" i="1"/>
  <c r="O80" i="1"/>
  <c r="O58" i="1"/>
  <c r="O49" i="1"/>
  <c r="O78" i="1"/>
  <c r="O96" i="1"/>
  <c r="O90" i="1"/>
  <c r="O52" i="1"/>
  <c r="O61" i="1"/>
  <c r="O50" i="1"/>
  <c r="O74" i="1"/>
  <c r="O51" i="1"/>
  <c r="O18" i="1"/>
  <c r="O38" i="1" s="1"/>
  <c r="O70" i="1"/>
  <c r="O88" i="1"/>
  <c r="O108" i="1"/>
  <c r="O44" i="1"/>
  <c r="O53" i="1"/>
  <c r="O75" i="1"/>
  <c r="O72" i="1"/>
  <c r="O39" i="1"/>
  <c r="O99" i="1"/>
  <c r="O82" i="1"/>
  <c r="O103" i="1"/>
  <c r="O105" i="1"/>
  <c r="O100" i="1"/>
  <c r="O109" i="1"/>
  <c r="O83" i="1"/>
  <c r="O73" i="1"/>
  <c r="O66" i="1"/>
  <c r="O55" i="1"/>
  <c r="O91" i="1"/>
  <c r="O95" i="1"/>
  <c r="O56" i="1"/>
  <c r="S28" i="1"/>
  <c r="W13" i="1"/>
  <c r="W38" i="1" s="1"/>
  <c r="W15" i="1"/>
  <c r="W14" i="1" s="1"/>
  <c r="N28" i="1"/>
  <c r="N30" i="1" s="1"/>
  <c r="N31" i="1" s="1"/>
  <c r="W93" i="8"/>
  <c r="E13" i="1"/>
  <c r="E15" i="1"/>
  <c r="E14" i="1" s="1"/>
  <c r="G15" i="1"/>
  <c r="G14" i="1" s="1"/>
  <c r="G13" i="1"/>
  <c r="W28" i="1"/>
  <c r="W30" i="1" s="1"/>
  <c r="AA110" i="8"/>
  <c r="N13" i="1"/>
  <c r="N15" i="1"/>
  <c r="N14" i="1" s="1"/>
  <c r="E30" i="1"/>
  <c r="E36" i="1" s="1"/>
  <c r="G30" i="1"/>
  <c r="O69" i="8"/>
  <c r="C26" i="1"/>
  <c r="C62" i="1" s="1"/>
  <c r="C7" i="5"/>
  <c r="B7" i="5"/>
  <c r="D7" i="5"/>
  <c r="E7" i="5"/>
  <c r="AD167" i="11"/>
  <c r="L100" i="11"/>
  <c r="T100" i="11"/>
  <c r="AB100" i="11"/>
  <c r="A8" i="5"/>
  <c r="N167" i="11"/>
  <c r="T37" i="11"/>
  <c r="S13" i="1" l="1"/>
  <c r="S38" i="1" s="1"/>
  <c r="S30" i="1"/>
  <c r="S31" i="1" s="1"/>
  <c r="AD173" i="11"/>
  <c r="AB171" i="11" s="1"/>
  <c r="U13" i="1"/>
  <c r="U38" i="1" s="1"/>
  <c r="U30" i="1"/>
  <c r="U40" i="1" s="1"/>
  <c r="U78" i="1"/>
  <c r="V43" i="11"/>
  <c r="T41" i="11" s="1"/>
  <c r="U48" i="1"/>
  <c r="U63" i="1"/>
  <c r="U50" i="1"/>
  <c r="U61" i="1"/>
  <c r="U66" i="1"/>
  <c r="C50" i="1"/>
  <c r="C37" i="1" s="1"/>
  <c r="K72" i="8" s="1"/>
  <c r="T73" i="1"/>
  <c r="T40" i="1"/>
  <c r="T31" i="1"/>
  <c r="T58" i="1"/>
  <c r="F38" i="1"/>
  <c r="F37" i="1" s="1"/>
  <c r="W72" i="8" s="1"/>
  <c r="T56" i="1"/>
  <c r="T65" i="1"/>
  <c r="T44" i="1"/>
  <c r="T41" i="1"/>
  <c r="T51" i="1"/>
  <c r="T74" i="1"/>
  <c r="T60" i="1"/>
  <c r="T52" i="1"/>
  <c r="T57" i="1"/>
  <c r="T71" i="1"/>
  <c r="T62" i="1"/>
  <c r="T42" i="1"/>
  <c r="T68" i="1"/>
  <c r="T48" i="1"/>
  <c r="T43" i="1"/>
  <c r="T69" i="1"/>
  <c r="T54" i="1"/>
  <c r="T70" i="1"/>
  <c r="T49" i="1"/>
  <c r="T63" i="1"/>
  <c r="T66" i="1"/>
  <c r="T61" i="1"/>
  <c r="T50" i="1"/>
  <c r="T45" i="1"/>
  <c r="T72" i="1"/>
  <c r="T46" i="1"/>
  <c r="T59" i="1"/>
  <c r="T53" i="1"/>
  <c r="T67" i="1"/>
  <c r="T39" i="1"/>
  <c r="T64" i="1"/>
  <c r="T55" i="1"/>
  <c r="AD106" i="11"/>
  <c r="AB104" i="11" s="1"/>
  <c r="V106" i="11"/>
  <c r="T104" i="11" s="1"/>
  <c r="N173" i="11"/>
  <c r="L171" i="11" s="1"/>
  <c r="N106" i="11"/>
  <c r="L104" i="11" s="1"/>
  <c r="G90" i="1"/>
  <c r="G108" i="1"/>
  <c r="G103" i="1"/>
  <c r="G104" i="1"/>
  <c r="G53" i="1"/>
  <c r="G85" i="1"/>
  <c r="G110" i="1"/>
  <c r="G18" i="1"/>
  <c r="G38" i="1" s="1"/>
  <c r="G31" i="1"/>
  <c r="G58" i="1"/>
  <c r="G47" i="1"/>
  <c r="G42" i="1"/>
  <c r="G105" i="1"/>
  <c r="G82" i="1"/>
  <c r="G100" i="1"/>
  <c r="G95" i="1"/>
  <c r="G96" i="1"/>
  <c r="G51" i="1"/>
  <c r="G77" i="1"/>
  <c r="G67" i="1"/>
  <c r="G94" i="1"/>
  <c r="G93" i="1"/>
  <c r="G97" i="1"/>
  <c r="G74" i="1"/>
  <c r="G92" i="1"/>
  <c r="G87" i="1"/>
  <c r="G88" i="1"/>
  <c r="G78" i="1"/>
  <c r="G69" i="1"/>
  <c r="G62" i="1"/>
  <c r="G75" i="1"/>
  <c r="G48" i="1"/>
  <c r="G98" i="1"/>
  <c r="G65" i="1"/>
  <c r="G89" i="1"/>
  <c r="G66" i="1"/>
  <c r="G84" i="1"/>
  <c r="G79" i="1"/>
  <c r="G80" i="1"/>
  <c r="G70" i="1"/>
  <c r="G68" i="1"/>
  <c r="G52" i="1"/>
  <c r="G54" i="1"/>
  <c r="G45" i="1"/>
  <c r="G59" i="1"/>
  <c r="G81" i="1"/>
  <c r="G107" i="1"/>
  <c r="G76" i="1"/>
  <c r="G71" i="1"/>
  <c r="G72" i="1"/>
  <c r="G60" i="1"/>
  <c r="G57" i="1"/>
  <c r="G41" i="1"/>
  <c r="G50" i="1"/>
  <c r="G83" i="1"/>
  <c r="G36" i="1"/>
  <c r="G73" i="1"/>
  <c r="G99" i="1"/>
  <c r="G109" i="1"/>
  <c r="G63" i="1"/>
  <c r="G64" i="1"/>
  <c r="G43" i="1"/>
  <c r="G49" i="1"/>
  <c r="G102" i="1"/>
  <c r="G40" i="1"/>
  <c r="G106" i="1"/>
  <c r="G91" i="1"/>
  <c r="G101" i="1"/>
  <c r="G55" i="1"/>
  <c r="G56" i="1"/>
  <c r="G39" i="1"/>
  <c r="G46" i="1"/>
  <c r="G44" i="1"/>
  <c r="G61" i="1"/>
  <c r="G86" i="1"/>
  <c r="M37" i="1"/>
  <c r="S95" i="8" s="1"/>
  <c r="D52" i="1"/>
  <c r="D50" i="1"/>
  <c r="D55" i="1"/>
  <c r="D40" i="1"/>
  <c r="D73" i="1"/>
  <c r="D44" i="1"/>
  <c r="D63" i="1"/>
  <c r="D51" i="1"/>
  <c r="D67" i="1"/>
  <c r="D59" i="1"/>
  <c r="D48" i="1"/>
  <c r="D60" i="1"/>
  <c r="D69" i="1"/>
  <c r="D45" i="1"/>
  <c r="D62" i="1"/>
  <c r="D64" i="1"/>
  <c r="D47" i="1"/>
  <c r="D61" i="1"/>
  <c r="D42" i="1"/>
  <c r="D46" i="1"/>
  <c r="D54" i="1"/>
  <c r="D57" i="1"/>
  <c r="D49" i="1"/>
  <c r="D70" i="1"/>
  <c r="D53" i="1"/>
  <c r="D65" i="1"/>
  <c r="D43" i="1"/>
  <c r="D41" i="1"/>
  <c r="D74" i="1"/>
  <c r="D71" i="1"/>
  <c r="D72" i="1"/>
  <c r="D58" i="1"/>
  <c r="D39" i="1"/>
  <c r="D36" i="1"/>
  <c r="D68" i="1"/>
  <c r="D66" i="1"/>
  <c r="D18" i="1"/>
  <c r="D38" i="1" s="1"/>
  <c r="D56" i="1"/>
  <c r="L57" i="1"/>
  <c r="L46" i="1"/>
  <c r="L54" i="1"/>
  <c r="L72" i="1"/>
  <c r="L43" i="1"/>
  <c r="L49" i="1"/>
  <c r="L40" i="1"/>
  <c r="L50" i="1"/>
  <c r="L63" i="1"/>
  <c r="L39" i="1"/>
  <c r="L44" i="1"/>
  <c r="L41" i="1"/>
  <c r="L62" i="1"/>
  <c r="L47" i="1"/>
  <c r="L53" i="1"/>
  <c r="L18" i="1"/>
  <c r="L38" i="1" s="1"/>
  <c r="L74" i="1"/>
  <c r="L52" i="1"/>
  <c r="L61" i="1"/>
  <c r="L51" i="1"/>
  <c r="L73" i="1"/>
  <c r="L70" i="1"/>
  <c r="L55" i="1"/>
  <c r="L60" i="1"/>
  <c r="L67" i="1"/>
  <c r="L66" i="1"/>
  <c r="L64" i="1"/>
  <c r="L42" i="1"/>
  <c r="L48" i="1"/>
  <c r="L45" i="1"/>
  <c r="L65" i="1"/>
  <c r="L68" i="1"/>
  <c r="L58" i="1"/>
  <c r="L59" i="1"/>
  <c r="L56" i="1"/>
  <c r="L71" i="1"/>
  <c r="L69" i="1"/>
  <c r="W75" i="1"/>
  <c r="W109" i="1"/>
  <c r="W78" i="1"/>
  <c r="W73" i="1"/>
  <c r="W82" i="1"/>
  <c r="W40" i="1"/>
  <c r="W55" i="1"/>
  <c r="W59" i="1"/>
  <c r="W45" i="1"/>
  <c r="W67" i="1"/>
  <c r="W101" i="1"/>
  <c r="W103" i="1"/>
  <c r="W65" i="1"/>
  <c r="W74" i="1"/>
  <c r="W88" i="1"/>
  <c r="W96" i="1"/>
  <c r="W50" i="1"/>
  <c r="W56" i="1"/>
  <c r="W68" i="1"/>
  <c r="W108" i="1"/>
  <c r="W93" i="1"/>
  <c r="W95" i="1"/>
  <c r="W57" i="1"/>
  <c r="W66" i="1"/>
  <c r="W79" i="1"/>
  <c r="W69" i="1"/>
  <c r="W47" i="1"/>
  <c r="W51" i="1"/>
  <c r="W83" i="1"/>
  <c r="W81" i="1"/>
  <c r="W70" i="1"/>
  <c r="W61" i="1"/>
  <c r="W100" i="1"/>
  <c r="W85" i="1"/>
  <c r="W87" i="1"/>
  <c r="W49" i="1"/>
  <c r="W58" i="1"/>
  <c r="W72" i="1"/>
  <c r="W62" i="1"/>
  <c r="W104" i="1"/>
  <c r="W48" i="1"/>
  <c r="W90" i="1"/>
  <c r="W107" i="1"/>
  <c r="W92" i="1"/>
  <c r="W110" i="1"/>
  <c r="W105" i="1"/>
  <c r="W41" i="1"/>
  <c r="W80" i="1"/>
  <c r="W60" i="1"/>
  <c r="W52" i="1"/>
  <c r="W54" i="1"/>
  <c r="W39" i="1"/>
  <c r="W99" i="1"/>
  <c r="W84" i="1"/>
  <c r="W102" i="1"/>
  <c r="W97" i="1"/>
  <c r="W106" i="1"/>
  <c r="W63" i="1"/>
  <c r="W46" i="1"/>
  <c r="W44" i="1"/>
  <c r="W42" i="1"/>
  <c r="W91" i="1"/>
  <c r="W76" i="1"/>
  <c r="W94" i="1"/>
  <c r="W89" i="1"/>
  <c r="W98" i="1"/>
  <c r="W53" i="1"/>
  <c r="W71" i="1"/>
  <c r="W77" i="1"/>
  <c r="W86" i="1"/>
  <c r="W43" i="1"/>
  <c r="W64" i="1"/>
  <c r="E79" i="1"/>
  <c r="E69" i="1"/>
  <c r="E63" i="1"/>
  <c r="E84" i="1"/>
  <c r="E57" i="1"/>
  <c r="E75" i="1"/>
  <c r="E50" i="1"/>
  <c r="E68" i="1"/>
  <c r="E71" i="1"/>
  <c r="E61" i="1"/>
  <c r="E42" i="1"/>
  <c r="E83" i="1"/>
  <c r="E49" i="1"/>
  <c r="E73" i="1"/>
  <c r="E77" i="1"/>
  <c r="E41" i="1"/>
  <c r="E80" i="1"/>
  <c r="E53" i="1"/>
  <c r="E65" i="1"/>
  <c r="E60" i="1"/>
  <c r="E40" i="1"/>
  <c r="E59" i="1"/>
  <c r="E54" i="1"/>
  <c r="E72" i="1"/>
  <c r="E45" i="1"/>
  <c r="E58" i="1"/>
  <c r="E46" i="1"/>
  <c r="E81" i="1"/>
  <c r="E47" i="1"/>
  <c r="E82" i="1"/>
  <c r="E78" i="1"/>
  <c r="E48" i="1"/>
  <c r="E43" i="1"/>
  <c r="E67" i="1"/>
  <c r="E44" i="1"/>
  <c r="E51" i="1"/>
  <c r="E74" i="1"/>
  <c r="E70" i="1"/>
  <c r="E39" i="1"/>
  <c r="E64" i="1"/>
  <c r="E18" i="1"/>
  <c r="E38" i="1" s="1"/>
  <c r="E85" i="1"/>
  <c r="E62" i="1"/>
  <c r="E55" i="1"/>
  <c r="E76" i="1"/>
  <c r="E52" i="1"/>
  <c r="E66" i="1"/>
  <c r="E56" i="1"/>
  <c r="O37" i="1"/>
  <c r="AA95" i="8" s="1"/>
  <c r="D31" i="1"/>
  <c r="E31" i="1"/>
  <c r="S61" i="1"/>
  <c r="S46" i="1"/>
  <c r="S53" i="1"/>
  <c r="S45" i="1"/>
  <c r="S58" i="1"/>
  <c r="S51" i="1"/>
  <c r="S41" i="1"/>
  <c r="S55" i="1"/>
  <c r="E86" i="1"/>
  <c r="K39" i="1"/>
  <c r="K59" i="1"/>
  <c r="K58" i="1"/>
  <c r="K55" i="1"/>
  <c r="K44" i="1"/>
  <c r="K45" i="1"/>
  <c r="K49" i="1"/>
  <c r="K18" i="1"/>
  <c r="K38" i="1" s="1"/>
  <c r="K56" i="1"/>
  <c r="K46" i="1"/>
  <c r="K54" i="1"/>
  <c r="K53" i="1"/>
  <c r="K43" i="1"/>
  <c r="K48" i="1"/>
  <c r="K40" i="1"/>
  <c r="K50" i="1"/>
  <c r="K51" i="1"/>
  <c r="K57" i="1"/>
  <c r="K62" i="1"/>
  <c r="K47" i="1"/>
  <c r="K41" i="1"/>
  <c r="K60" i="1"/>
  <c r="K52" i="1"/>
  <c r="K61" i="1"/>
  <c r="K42" i="1"/>
  <c r="N69" i="1"/>
  <c r="N88" i="1"/>
  <c r="N59" i="1"/>
  <c r="N52" i="1"/>
  <c r="N81" i="1"/>
  <c r="N45" i="1"/>
  <c r="N48" i="1"/>
  <c r="N40" i="1"/>
  <c r="N94" i="1"/>
  <c r="N80" i="1"/>
  <c r="N51" i="1"/>
  <c r="N64" i="1"/>
  <c r="N54" i="1"/>
  <c r="N42" i="1"/>
  <c r="N79" i="1"/>
  <c r="N62" i="1"/>
  <c r="N75" i="1"/>
  <c r="N55" i="1"/>
  <c r="N82" i="1"/>
  <c r="N86" i="1"/>
  <c r="N97" i="1"/>
  <c r="N43" i="1"/>
  <c r="N57" i="1"/>
  <c r="N47" i="1"/>
  <c r="N71" i="1"/>
  <c r="N49" i="1"/>
  <c r="N68" i="1"/>
  <c r="N96" i="1"/>
  <c r="N46" i="1"/>
  <c r="N78" i="1"/>
  <c r="N89" i="1"/>
  <c r="N92" i="1"/>
  <c r="N44" i="1"/>
  <c r="N61" i="1"/>
  <c r="N74" i="1"/>
  <c r="N65" i="1"/>
  <c r="N85" i="1"/>
  <c r="N90" i="1"/>
  <c r="N77" i="1"/>
  <c r="N60" i="1"/>
  <c r="N56" i="1"/>
  <c r="N70" i="1"/>
  <c r="N91" i="1"/>
  <c r="N84" i="1"/>
  <c r="N41" i="1"/>
  <c r="N50" i="1"/>
  <c r="N72" i="1"/>
  <c r="N58" i="1"/>
  <c r="N87" i="1"/>
  <c r="N63" i="1"/>
  <c r="N67" i="1"/>
  <c r="N53" i="1"/>
  <c r="N93" i="1"/>
  <c r="N95" i="1"/>
  <c r="N83" i="1"/>
  <c r="N76" i="1"/>
  <c r="N18" i="1"/>
  <c r="N38" i="1" s="1"/>
  <c r="N98" i="1"/>
  <c r="N66" i="1"/>
  <c r="N39" i="1"/>
  <c r="N73" i="1"/>
  <c r="K31" i="1"/>
  <c r="W31" i="1"/>
  <c r="V98" i="1"/>
  <c r="V92" i="1"/>
  <c r="V88" i="1"/>
  <c r="V81" i="1"/>
  <c r="V63" i="1"/>
  <c r="V46" i="1"/>
  <c r="V52" i="1"/>
  <c r="V54" i="1"/>
  <c r="V67" i="1"/>
  <c r="V90" i="1"/>
  <c r="V84" i="1"/>
  <c r="V80" i="1"/>
  <c r="V73" i="1"/>
  <c r="V53" i="1"/>
  <c r="V87" i="1"/>
  <c r="V44" i="1"/>
  <c r="V42" i="1"/>
  <c r="V91" i="1"/>
  <c r="V66" i="1"/>
  <c r="V59" i="1"/>
  <c r="V76" i="1"/>
  <c r="V82" i="1"/>
  <c r="V93" i="1"/>
  <c r="V72" i="1"/>
  <c r="V65" i="1"/>
  <c r="V43" i="1"/>
  <c r="V71" i="1"/>
  <c r="V95" i="1"/>
  <c r="V55" i="1"/>
  <c r="V60" i="1"/>
  <c r="V49" i="1"/>
  <c r="V74" i="1"/>
  <c r="V85" i="1"/>
  <c r="V64" i="1"/>
  <c r="V57" i="1"/>
  <c r="V40" i="1"/>
  <c r="V70" i="1"/>
  <c r="V68" i="1"/>
  <c r="V61" i="1"/>
  <c r="V51" i="1"/>
  <c r="V96" i="1"/>
  <c r="V62" i="1"/>
  <c r="V77" i="1"/>
  <c r="V56" i="1"/>
  <c r="V79" i="1"/>
  <c r="V45" i="1"/>
  <c r="V86" i="1"/>
  <c r="V47" i="1"/>
  <c r="V83" i="1"/>
  <c r="V94" i="1"/>
  <c r="V48" i="1"/>
  <c r="V58" i="1"/>
  <c r="V78" i="1"/>
  <c r="V41" i="1"/>
  <c r="V50" i="1"/>
  <c r="V97" i="1"/>
  <c r="V89" i="1"/>
  <c r="V75" i="1"/>
  <c r="V69" i="1"/>
  <c r="V39" i="1"/>
  <c r="L31" i="1"/>
  <c r="E8" i="5"/>
  <c r="D8" i="5"/>
  <c r="C8" i="5"/>
  <c r="B8" i="5"/>
  <c r="A9" i="5"/>
  <c r="S62" i="1" l="1"/>
  <c r="S50" i="1"/>
  <c r="S40" i="1"/>
  <c r="U60" i="1"/>
  <c r="S49" i="1"/>
  <c r="S56" i="1"/>
  <c r="S44" i="1"/>
  <c r="S59" i="1"/>
  <c r="S60" i="1"/>
  <c r="S43" i="1"/>
  <c r="U65" i="1"/>
  <c r="S57" i="1"/>
  <c r="S48" i="1"/>
  <c r="S42" i="1"/>
  <c r="U56" i="1"/>
  <c r="U76" i="1"/>
  <c r="S52" i="1"/>
  <c r="S54" i="1"/>
  <c r="S47" i="1"/>
  <c r="S37" i="1" s="1"/>
  <c r="K112" i="8" s="1"/>
  <c r="S39" i="1"/>
  <c r="U41" i="1"/>
  <c r="U64" i="1"/>
  <c r="U58" i="1"/>
  <c r="U52" i="1"/>
  <c r="U67" i="1"/>
  <c r="U84" i="1"/>
  <c r="U80" i="1"/>
  <c r="U73" i="1"/>
  <c r="U69" i="1"/>
  <c r="U57" i="1"/>
  <c r="U54" i="1"/>
  <c r="U85" i="1"/>
  <c r="U81" i="1"/>
  <c r="U47" i="1"/>
  <c r="U39" i="1"/>
  <c r="U43" i="1"/>
  <c r="U44" i="1"/>
  <c r="U45" i="1"/>
  <c r="U75" i="1"/>
  <c r="U49" i="1"/>
  <c r="U70" i="1"/>
  <c r="U59" i="1"/>
  <c r="U42" i="1"/>
  <c r="U83" i="1"/>
  <c r="U79" i="1"/>
  <c r="U72" i="1"/>
  <c r="U53" i="1"/>
  <c r="U68" i="1"/>
  <c r="U55" i="1"/>
  <c r="U77" i="1"/>
  <c r="U31" i="1"/>
  <c r="U86" i="1"/>
  <c r="U74" i="1"/>
  <c r="U51" i="1"/>
  <c r="U71" i="1"/>
  <c r="U46" i="1"/>
  <c r="U62" i="1"/>
  <c r="U82" i="1"/>
  <c r="U37" i="1"/>
  <c r="S112" i="8" s="1"/>
  <c r="T37" i="1"/>
  <c r="O112" i="8" s="1"/>
  <c r="L37" i="1"/>
  <c r="O95" i="8" s="1"/>
  <c r="V37" i="1"/>
  <c r="W112" i="8" s="1"/>
  <c r="W37" i="1"/>
  <c r="AA112" i="8" s="1"/>
  <c r="E37" i="1"/>
  <c r="S72" i="8" s="1"/>
  <c r="D37" i="1"/>
  <c r="O72" i="8" s="1"/>
  <c r="G37" i="1"/>
  <c r="AA72" i="8" s="1"/>
  <c r="N37" i="1"/>
  <c r="W95" i="8" s="1"/>
  <c r="K37" i="1"/>
  <c r="K95" i="8" s="1"/>
  <c r="E9" i="5"/>
  <c r="D9" i="5"/>
  <c r="C9" i="5"/>
  <c r="B9" i="5"/>
  <c r="A10" i="5"/>
  <c r="B10" i="5" l="1"/>
  <c r="E10" i="5"/>
  <c r="D10" i="5"/>
  <c r="C10" i="5"/>
  <c r="A11" i="5"/>
  <c r="C11" i="5" l="1"/>
  <c r="B11" i="5"/>
  <c r="D11" i="5"/>
  <c r="E11" i="5"/>
  <c r="A12" i="5"/>
  <c r="E12" i="5" l="1"/>
  <c r="D12" i="5"/>
  <c r="C12" i="5"/>
  <c r="B12" i="5"/>
  <c r="A13" i="5"/>
  <c r="E13" i="5" l="1"/>
  <c r="D13" i="5"/>
  <c r="C13" i="5"/>
  <c r="B13" i="5"/>
  <c r="A14" i="5"/>
  <c r="B14" i="5" l="1"/>
  <c r="E14" i="5"/>
  <c r="D14" i="5"/>
  <c r="C14" i="5"/>
  <c r="A15" i="5"/>
  <c r="C15" i="5" l="1"/>
  <c r="B15" i="5"/>
  <c r="D15" i="5"/>
  <c r="E15" i="5"/>
  <c r="A16" i="5"/>
  <c r="E16" i="5" l="1"/>
  <c r="D16" i="5"/>
  <c r="C16" i="5"/>
  <c r="B16" i="5"/>
  <c r="A17" i="5"/>
  <c r="E17" i="5" l="1"/>
  <c r="D17" i="5"/>
  <c r="C17" i="5"/>
  <c r="B17" i="5"/>
  <c r="A18" i="5"/>
  <c r="E18" i="5" l="1"/>
  <c r="D18" i="5"/>
  <c r="B18" i="5"/>
  <c r="C18" i="5"/>
  <c r="A19" i="5"/>
  <c r="C19" i="5" l="1"/>
  <c r="B19" i="5"/>
  <c r="D19" i="5"/>
  <c r="E19" i="5"/>
  <c r="A20" i="5"/>
  <c r="E20" i="5" l="1"/>
  <c r="D20" i="5"/>
  <c r="C20" i="5"/>
  <c r="B20" i="5"/>
  <c r="A21" i="5"/>
  <c r="B21" i="5" l="1"/>
  <c r="C2" i="5" s="1"/>
  <c r="E21" i="5"/>
  <c r="D21" i="5"/>
  <c r="C21" i="5"/>
</calcChain>
</file>

<file path=xl/sharedStrings.xml><?xml version="1.0" encoding="utf-8"?>
<sst xmlns="http://schemas.openxmlformats.org/spreadsheetml/2006/main" count="512" uniqueCount="311">
  <si>
    <t>Seguro</t>
  </si>
  <si>
    <t>Residual $</t>
  </si>
  <si>
    <t>RENTA</t>
  </si>
  <si>
    <t>Comisión $</t>
  </si>
  <si>
    <t>Comisión %</t>
  </si>
  <si>
    <t>TASA EFECTIVA</t>
  </si>
  <si>
    <t>RENTAS EN DEPOSITO</t>
  </si>
  <si>
    <t>TASA</t>
  </si>
  <si>
    <t>ENGANCHE</t>
  </si>
  <si>
    <t>AT´N.</t>
  </si>
  <si>
    <t>Por medio de la presente sometemos a su consideración las condiciones sobre las cuales estableceríamos la</t>
  </si>
  <si>
    <t>operación para el equipo solicitado</t>
  </si>
  <si>
    <t>ACREDITADA</t>
  </si>
  <si>
    <t>TIPO DE OPERACIÓN:</t>
  </si>
  <si>
    <t>PRECIO DE VENTA LA SOLUCION</t>
  </si>
  <si>
    <t>FORMA DE PAGO</t>
  </si>
  <si>
    <t>Pagos mensuales fijos y vencidos</t>
  </si>
  <si>
    <t>más I.V.A.</t>
  </si>
  <si>
    <t>ARRENDAMIENTO PURO</t>
  </si>
  <si>
    <t>NOTAS ACLARATORIAS:</t>
  </si>
  <si>
    <t>Atentamente</t>
  </si>
  <si>
    <t>TIPO DE EQUIPO :</t>
  </si>
  <si>
    <t>GASTOS RATIFICACIÓN</t>
  </si>
  <si>
    <t>COMISION APERTURA</t>
  </si>
  <si>
    <t>MONTO DEL SEGURO</t>
  </si>
  <si>
    <t>CONCEPTO / PLAZO</t>
  </si>
  <si>
    <t>PRECIO NETO</t>
  </si>
  <si>
    <t>Ratificacion</t>
  </si>
  <si>
    <t>ARRENDAMIENTO FINANCIERO</t>
  </si>
  <si>
    <t>Opción de Compra</t>
  </si>
  <si>
    <t>Monedas</t>
  </si>
  <si>
    <t>Productos</t>
  </si>
  <si>
    <t>Ejecutivos Banregio</t>
  </si>
  <si>
    <t>CREDITO SIMPLE</t>
  </si>
  <si>
    <t>Telefono</t>
  </si>
  <si>
    <t>Email</t>
  </si>
  <si>
    <t>Montos para Tir Minimas esperadas</t>
  </si>
  <si>
    <t>Millones</t>
  </si>
  <si>
    <t>Residual</t>
  </si>
  <si>
    <t>% Enganche</t>
  </si>
  <si>
    <t>PESOS</t>
  </si>
  <si>
    <t>DOLARES</t>
  </si>
  <si>
    <t xml:space="preserve">Opcion </t>
  </si>
  <si>
    <t>Inicio</t>
  </si>
  <si>
    <t>B2:AK64</t>
  </si>
  <si>
    <t>B66:AK128</t>
  </si>
  <si>
    <t>B130:AK192</t>
  </si>
  <si>
    <t xml:space="preserve">Area de Impresión  </t>
  </si>
  <si>
    <t xml:space="preserve">ARRENDAMIENTO PURO </t>
  </si>
  <si>
    <t xml:space="preserve">ARRENDAMIENTO FINANCIERO </t>
  </si>
  <si>
    <t>PAGO MENSUAL</t>
  </si>
  <si>
    <t xml:space="preserve"> </t>
  </si>
  <si>
    <t>Cliente</t>
  </si>
  <si>
    <t>Contacto</t>
  </si>
  <si>
    <t>Equipo</t>
  </si>
  <si>
    <t>Renta</t>
  </si>
  <si>
    <t>Factor renta</t>
  </si>
  <si>
    <t xml:space="preserve">$ Enganche </t>
  </si>
  <si>
    <t>Monto a Financiar</t>
  </si>
  <si>
    <t>Monto a financiar</t>
  </si>
  <si>
    <t>Plazos</t>
  </si>
  <si>
    <t>Plazos Dinamicos propuesta</t>
  </si>
  <si>
    <t>Tasa Nominal</t>
  </si>
  <si>
    <t>Producto Moneda</t>
  </si>
  <si>
    <t>ARRENDAMIENTO PUROPESOS</t>
  </si>
  <si>
    <t>ARRENDAMIENTO PURODOLARES</t>
  </si>
  <si>
    <t>ARRENDAMIENTO FINANCIEROPESOS</t>
  </si>
  <si>
    <t>ARRENDAMIENTO FINANCIERODOLARES</t>
  </si>
  <si>
    <t>% Blind Discount</t>
  </si>
  <si>
    <t>$ Blind Discount</t>
  </si>
  <si>
    <t>Pago</t>
  </si>
  <si>
    <t>Opcion Seleccionada</t>
  </si>
  <si>
    <t xml:space="preserve">  </t>
  </si>
  <si>
    <t xml:space="preserve">Tasa </t>
  </si>
  <si>
    <t>Tasa</t>
  </si>
  <si>
    <t>Meses</t>
  </si>
  <si>
    <t>TASAS MINIMAS MXN</t>
  </si>
  <si>
    <t>TASAS MINIMAS USD</t>
  </si>
  <si>
    <t>Años</t>
  </si>
  <si>
    <t>0 a 3M</t>
  </si>
  <si>
    <t>3M a 10M</t>
  </si>
  <si>
    <t>10M +</t>
  </si>
  <si>
    <t>DESEMBOLSO INICIAL</t>
  </si>
  <si>
    <t>PAGOS EN DEPOSITO</t>
  </si>
  <si>
    <t>Residual CTE %</t>
  </si>
  <si>
    <t>Residual CTE$</t>
  </si>
  <si>
    <t>Residual BR %</t>
  </si>
  <si>
    <t xml:space="preserve">         </t>
  </si>
  <si>
    <t>VALOR APROXIMADO DE VENTA MAS IVA</t>
  </si>
  <si>
    <t>5337-0076</t>
  </si>
  <si>
    <t>carlos.moreno@banregio.com</t>
  </si>
  <si>
    <t>Arrendamiento Puro</t>
  </si>
  <si>
    <t>Arrendamiento Financiero</t>
  </si>
  <si>
    <t>Residual Garantizado</t>
  </si>
  <si>
    <t>Plazo</t>
  </si>
  <si>
    <t>Tipo de Cambio</t>
  </si>
  <si>
    <t xml:space="preserve">Nombre </t>
  </si>
  <si>
    <t xml:space="preserve">Telefono </t>
  </si>
  <si>
    <t>Celular</t>
  </si>
  <si>
    <t xml:space="preserve">Correo </t>
  </si>
  <si>
    <t>Region</t>
  </si>
  <si>
    <t>Alejandro Del Rosal Talbott</t>
  </si>
  <si>
    <t>5337-0000 Ext. 6635</t>
  </si>
  <si>
    <t>alejandro.delrosal@banregio.com</t>
  </si>
  <si>
    <t>CDMX</t>
  </si>
  <si>
    <t>Alejandro Karam</t>
  </si>
  <si>
    <t>5337-0008</t>
  </si>
  <si>
    <t>044-55-29-72-20-91</t>
  </si>
  <si>
    <t>alejandro.karam@banregio.com</t>
  </si>
  <si>
    <t>Alfonso Labandeira</t>
  </si>
  <si>
    <t>5337-0000 Ext. 6640</t>
  </si>
  <si>
    <t>alfonso.labandeira@banregio.com</t>
  </si>
  <si>
    <t>Alma Ruíz Sustaita</t>
  </si>
  <si>
    <t>(81)  81 52 08 00  Ext 1056</t>
  </si>
  <si>
    <t>045-81-1531-0385</t>
  </si>
  <si>
    <t>alma.ruiz@banregio.com</t>
  </si>
  <si>
    <t>MTY</t>
  </si>
  <si>
    <t>Américo Lozano</t>
  </si>
  <si>
    <t>477-214-5100</t>
  </si>
  <si>
    <t>477-192-3196</t>
  </si>
  <si>
    <t>americo.lozano@banregio.com</t>
  </si>
  <si>
    <t>GTO</t>
  </si>
  <si>
    <t>Antonio Arjona</t>
  </si>
  <si>
    <t>(81)  81 52 08 00</t>
  </si>
  <si>
    <t>045-81-1911-7600</t>
  </si>
  <si>
    <t>antonio.arjona@banregio.com</t>
  </si>
  <si>
    <t>Carlos E. Moreno Castro</t>
  </si>
  <si>
    <t>044-55-19-55-16-29</t>
  </si>
  <si>
    <t>Cecilia Miranda</t>
  </si>
  <si>
    <t>5337-0004</t>
  </si>
  <si>
    <t>044-55-27-29-58-89</t>
  </si>
  <si>
    <t>cecilia.miranda@banregio.com</t>
  </si>
  <si>
    <t>Cesar Hidalgo</t>
  </si>
  <si>
    <t>044-55-19-73-14-15</t>
  </si>
  <si>
    <t>cesar.hidalgo@banregio.com</t>
  </si>
  <si>
    <t>César Ruíz Castro</t>
  </si>
  <si>
    <t>5337-0000 Ext. 6556</t>
  </si>
  <si>
    <t>cesar.ruiz@banregio.com</t>
  </si>
  <si>
    <t>Daniel Rojas</t>
  </si>
  <si>
    <t>daniel.rojas@banregio.com</t>
  </si>
  <si>
    <t>Deshire Villar</t>
  </si>
  <si>
    <t>5337-0085</t>
  </si>
  <si>
    <t>044-55-60-70-13-95</t>
  </si>
  <si>
    <t>silvia.villar@banregio.com</t>
  </si>
  <si>
    <t>Gisela López Ortiz</t>
  </si>
  <si>
    <t>5337-0000 Ext. 6637</t>
  </si>
  <si>
    <t>gisela.lopez@banregio.com</t>
  </si>
  <si>
    <t>Guillermo Galvan</t>
  </si>
  <si>
    <t>044-55-54-38-01-25</t>
  </si>
  <si>
    <t>guillermo.galvan@banregio.com</t>
  </si>
  <si>
    <t>GDL</t>
  </si>
  <si>
    <t>Herman Ciprés</t>
  </si>
  <si>
    <t>5337-0000 Ext. 6633</t>
  </si>
  <si>
    <t>044-55 1494-4466</t>
  </si>
  <si>
    <t>herman.cipres@banregio.com</t>
  </si>
  <si>
    <t>Ingrid Ugartechea</t>
  </si>
  <si>
    <t>5337-0000 Ext. 6567</t>
  </si>
  <si>
    <t>044-55-17-02-12-56</t>
  </si>
  <si>
    <t>ingrid.ugartechea@banregio.com</t>
  </si>
  <si>
    <t>5337-0000 Ext. 6559</t>
  </si>
  <si>
    <t>jessica.robles@banregio.com</t>
  </si>
  <si>
    <t>Jonathan García López</t>
  </si>
  <si>
    <t>5337-0000 Ext. 6638</t>
  </si>
  <si>
    <t>jonathan.garcia@banregio.com</t>
  </si>
  <si>
    <t>Jose Luis Nava</t>
  </si>
  <si>
    <t>5337-0000 Ext. 6626</t>
  </si>
  <si>
    <t>044-55-44-43-29-78</t>
  </si>
  <si>
    <t xml:space="preserve">jose.nava.alcantara@banregio.com </t>
  </si>
  <si>
    <t>Karen Menendéz</t>
  </si>
  <si>
    <t>5337 - 0000 Ext 6655</t>
  </si>
  <si>
    <t>044-55-2843-6901</t>
  </si>
  <si>
    <t>karen.menendez@banregio.com</t>
  </si>
  <si>
    <t>Lorena Moreno</t>
  </si>
  <si>
    <t>5337-0000 Ext. 6543</t>
  </si>
  <si>
    <t>044-55-34-10-13-14</t>
  </si>
  <si>
    <t>lorena.moreno@banregio.com</t>
  </si>
  <si>
    <t>Luis Garduño</t>
  </si>
  <si>
    <t>5337-0000 Ext. 6517</t>
  </si>
  <si>
    <t>044-55-38-88-07-14</t>
  </si>
  <si>
    <t>luis.garduno@banregio.com</t>
  </si>
  <si>
    <t>Mónica Simón Kadala</t>
  </si>
  <si>
    <t>5337-0000 Ext. 6634</t>
  </si>
  <si>
    <t>monica.simon@banregio.com</t>
  </si>
  <si>
    <t>Nancy Leal Rodriguez</t>
  </si>
  <si>
    <t>(81)  81 52 08 00  Ext 1057</t>
  </si>
  <si>
    <t>045-81-8252-2383</t>
  </si>
  <si>
    <t>nancy.leal@banregio.com</t>
  </si>
  <si>
    <t>Nuria Gonzalez</t>
  </si>
  <si>
    <t>5337-0000 Ext. 6553</t>
  </si>
  <si>
    <t>044-55-8104-0182</t>
  </si>
  <si>
    <t>nuria.gonzalez@banregio.com</t>
  </si>
  <si>
    <t>Pedro Espinosa Mogel</t>
  </si>
  <si>
    <t>5337-0000 Ext. 6549</t>
  </si>
  <si>
    <t>pedro.espinosa@banregio.com</t>
  </si>
  <si>
    <t>Ricardo Cajiga Ferraez</t>
  </si>
  <si>
    <t>5337-0000 Ext. 6636</t>
  </si>
  <si>
    <t>044-55-2809-8760</t>
  </si>
  <si>
    <t>ricardo.cajiga@banregio.com</t>
  </si>
  <si>
    <t>Ricardo Velázquez Morales</t>
  </si>
  <si>
    <t>5337-0000</t>
  </si>
  <si>
    <t>044-55-1814-2847</t>
  </si>
  <si>
    <t>ricardo.velazquez@banregio.com</t>
  </si>
  <si>
    <t>Rogelio Guzmán Cruz</t>
  </si>
  <si>
    <t>5337-0000 Ext. 6673</t>
  </si>
  <si>
    <t>044-55-42-49-87-15</t>
  </si>
  <si>
    <t>rogelio.guzman@banregio.com</t>
  </si>
  <si>
    <t>Incluir</t>
  </si>
  <si>
    <t>NO</t>
  </si>
  <si>
    <t>SI</t>
  </si>
  <si>
    <t>Pos</t>
  </si>
  <si>
    <t>Rango Dinamico</t>
  </si>
  <si>
    <t>Full Payout</t>
  </si>
  <si>
    <t>TIR Mínima</t>
  </si>
  <si>
    <t>TIR</t>
  </si>
  <si>
    <t>$ Enganche</t>
  </si>
  <si>
    <t>Tir Operación</t>
  </si>
  <si>
    <t>Residual BR</t>
  </si>
  <si>
    <t>Crédito Simple</t>
  </si>
  <si>
    <t xml:space="preserve">Monto Equipo con I.V.A. </t>
  </si>
  <si>
    <t>Propuesta</t>
  </si>
  <si>
    <t>Comisión apertura</t>
  </si>
  <si>
    <t>Rentas en depósito</t>
  </si>
  <si>
    <t>Ratificación</t>
  </si>
  <si>
    <t>Puntos adicionales para Residual Cliente</t>
  </si>
  <si>
    <t>Puntos</t>
  </si>
  <si>
    <t>Residual al final del Plazo</t>
  </si>
  <si>
    <t>Antonio Rául García Esquivel</t>
  </si>
  <si>
    <t>04455-21915843</t>
  </si>
  <si>
    <t>antonio.garcia@banregio.com</t>
  </si>
  <si>
    <t>Mariana Guadalupe Hernández Jimenéz</t>
  </si>
  <si>
    <t>5337-0000 Ext. 6682</t>
  </si>
  <si>
    <t>044-55-3291-2841</t>
  </si>
  <si>
    <t>marianaguadalupe.hernandez@banregio.com</t>
  </si>
  <si>
    <t>Total a Financiar</t>
  </si>
  <si>
    <t>No</t>
  </si>
  <si>
    <t>Renta en Deposito $</t>
  </si>
  <si>
    <t>Renta en Deposito #</t>
  </si>
  <si>
    <t>Full PayOut</t>
  </si>
  <si>
    <t>Factor de Renta</t>
  </si>
  <si>
    <t>Blind Discount $</t>
  </si>
  <si>
    <t>Blind Discount %</t>
  </si>
  <si>
    <t>Calculo de TIR</t>
  </si>
  <si>
    <t>Tasa Activa</t>
  </si>
  <si>
    <t>Por medio de la presente sometemos a su consideración las condiciones sobre las cuales estableceremos</t>
  </si>
  <si>
    <t>la operación para el equipo solicitado.</t>
  </si>
  <si>
    <t>Pagos Mensuales fijos y vencidos</t>
  </si>
  <si>
    <r>
      <t>1.</t>
    </r>
    <r>
      <rPr>
        <sz val="10"/>
        <rFont val="Calibri Light"/>
        <family val="2"/>
      </rPr>
      <t xml:space="preserve"> Las mensualidades indicadas en esta propuesta no incluyen el I.V.A., concepto que debe ser adicionado y liquidado en cada pago mensual.  El importe de la mensualidad está calculado sobre una base de 30 días y serán fijos.</t>
    </r>
  </si>
  <si>
    <r>
      <t xml:space="preserve">2. </t>
    </r>
    <r>
      <rPr>
        <sz val="10"/>
        <rFont val="Calibri Light"/>
        <family val="2"/>
      </rPr>
      <t>Vigencia de la propuesta: 15 días a partir de hoy.</t>
    </r>
  </si>
  <si>
    <r>
      <t xml:space="preserve">4. </t>
    </r>
    <r>
      <rPr>
        <sz val="10"/>
        <rFont val="Calibri Light"/>
        <family val="2"/>
      </rPr>
      <t>Otros gastos: El mantenimiento del equipo  es por cuenta de la acreditada.</t>
    </r>
  </si>
  <si>
    <r>
      <t xml:space="preserve">5. </t>
    </r>
    <r>
      <rPr>
        <sz val="10"/>
        <rFont val="Calibri Light"/>
        <family val="2"/>
      </rPr>
      <t>Esta propuesta  no nos obliga a participar en la transacción aquí  descrita. Nuestra  participación  en esta operación, se sujeta a la aprobación del Comité de Crédito de nuestra institución.  La  participación  y  aceptación, en su caso, están sujetas a la suscripción de documentación legal en forma y contenido satisfactorio para Start.</t>
    </r>
  </si>
  <si>
    <r>
      <t>6.</t>
    </r>
    <r>
      <rPr>
        <sz val="10"/>
        <rFont val="Calibri Light"/>
        <family val="2"/>
      </rPr>
      <t>La obligación de financiar está sujeta a que no haya ocurrido ninguno de los siguientes hechos con antelación a que la obligación de financiar se haga efectiva; a) Ningún cambio que afecte adversamente (1) La liquidez financiera doméstica o internacional, o el mercado de capitales o la capacidad de Start de acceder a estos capitales  en  general  o específicamente referente a la transacción arriba mencionada, o (2) las condiciones financieras o b) El deterioro de la situación nacional o internacional, ya sea política, monetaria o  económica, a sólo juicio de Start.</t>
    </r>
  </si>
  <si>
    <t>Si alguno de los hechos arriba mencionados ocurriesen, Tendremos el derecho de modificar el precio, término o estructura del préstamo o arrendamiento en los casos que determine que se verá severamente afectado de no cambiar los términos de la transacción. Sin embargo, si los cambios no son aceptables por el arrendatario las partes podrán dar por terminado el acuerdo.</t>
  </si>
  <si>
    <t>Consulte el aviso de privacidad en www.banregio.com</t>
  </si>
  <si>
    <r>
      <t xml:space="preserve">3. </t>
    </r>
    <r>
      <rPr>
        <sz val="10"/>
        <rFont val="Calibri Light"/>
        <family val="2"/>
      </rPr>
      <t>Seguro del Equipo:No está incluido en el pago mensual.</t>
    </r>
  </si>
  <si>
    <r>
      <t xml:space="preserve">3. </t>
    </r>
    <r>
      <rPr>
        <sz val="10"/>
        <rFont val="Calibri Light"/>
        <family val="2"/>
      </rPr>
      <t>Seguro del Equipo: No está incluido en el pago mensual.</t>
    </r>
  </si>
  <si>
    <t>Moneda Equipo</t>
  </si>
  <si>
    <t>OTROS</t>
  </si>
  <si>
    <t>Moneda Cotización</t>
  </si>
  <si>
    <t>Pesos</t>
  </si>
  <si>
    <t>Elizabeth Ferrer Monroy</t>
  </si>
  <si>
    <t>55 4876 4499</t>
  </si>
  <si>
    <t>elizabeth.ferrer@banregio.com</t>
  </si>
  <si>
    <t>Compra Garantizado</t>
  </si>
  <si>
    <t>IVA</t>
  </si>
  <si>
    <t>Tipo de Equipo</t>
  </si>
  <si>
    <t>Nombre del Cliente</t>
  </si>
  <si>
    <t>Nombre del contacto</t>
  </si>
  <si>
    <t>Selección de Equipo</t>
  </si>
  <si>
    <t>Datos de la Cotizacion</t>
  </si>
  <si>
    <t>Valor  de Venta</t>
  </si>
  <si>
    <t>Selección de propuesta para imprimir</t>
  </si>
  <si>
    <t>COMISION</t>
  </si>
  <si>
    <t>Tasa Mínima</t>
  </si>
  <si>
    <t>Residual Cliente $</t>
  </si>
  <si>
    <t>Residual BR $</t>
  </si>
  <si>
    <t>Tasa Minima</t>
  </si>
  <si>
    <t>Comision BR $</t>
  </si>
  <si>
    <t>Comision BR %</t>
  </si>
  <si>
    <t>Opcion de Compra $</t>
  </si>
  <si>
    <t>Opcion de Compra %</t>
  </si>
  <si>
    <t>RENTA MENSUAL</t>
  </si>
  <si>
    <t>RENTA EN DEPOSITO</t>
  </si>
  <si>
    <t>RENTA ANTICIPADA</t>
  </si>
  <si>
    <t>Arrend. Puro</t>
  </si>
  <si>
    <t>Credito Simple</t>
  </si>
  <si>
    <t>Arrend. Financiero</t>
  </si>
  <si>
    <t>Si</t>
  </si>
  <si>
    <t>Equipo General</t>
  </si>
  <si>
    <t>Jessica  Robles Mercado</t>
  </si>
  <si>
    <t>Mantenimiento</t>
  </si>
  <si>
    <t>Total  Equipo + Adicionales  sin I.V.A.</t>
  </si>
  <si>
    <t>Mas IVA</t>
  </si>
  <si>
    <t>Cantidad</t>
  </si>
  <si>
    <t>Precio Unitario</t>
  </si>
  <si>
    <t>Total</t>
  </si>
  <si>
    <t xml:space="preserve">Equipo de Transporte </t>
  </si>
  <si>
    <t>Nombre del Ejecutivo</t>
  </si>
  <si>
    <t>Teléfono</t>
  </si>
  <si>
    <t>Cotizador  Start - HYUNDAI</t>
  </si>
  <si>
    <t>H350 Carga 150</t>
  </si>
  <si>
    <t>Ex6 Chasis Cabina</t>
  </si>
  <si>
    <t>Ex8 Chasis Cabina</t>
  </si>
  <si>
    <t>* Precio sin I.V.A.</t>
  </si>
  <si>
    <r>
      <t xml:space="preserve">3. </t>
    </r>
    <r>
      <rPr>
        <sz val="10"/>
        <rFont val="Calibri Light"/>
        <family val="2"/>
      </rPr>
      <t>Seguro del Equipo: No Está incluido en el pago mensual.</t>
    </r>
  </si>
  <si>
    <t>Correo</t>
  </si>
  <si>
    <t>Correo Electrónico</t>
  </si>
  <si>
    <t>Ejecutivo Ventas</t>
  </si>
  <si>
    <t>Iva</t>
  </si>
  <si>
    <t xml:space="preserve">Sub total </t>
  </si>
  <si>
    <t>H350 Pasajeros 150</t>
  </si>
  <si>
    <t>H500BC Bus Carrozado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</si>
</sst>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quot;#,##0.00;[Red]\-&quot;$&quot;#,##0.00"/>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0.0000%"/>
    <numFmt numFmtId="169" formatCode="_-* #,##0.000_-;\-* #,##0.000_-;_-* &quot;-&quot;??_-;_-@_-"/>
    <numFmt numFmtId="170" formatCode="_-* #,##0.0000000_-;\-* #,##0.0000000_-;_-* &quot;-&quot;??_-;_-@_-"/>
    <numFmt numFmtId="171" formatCode="[$-80A]d&quot; de &quot;mmmm&quot; de &quot;yyyy;@"/>
    <numFmt numFmtId="172" formatCode="#,##0,,"/>
    <numFmt numFmtId="173" formatCode="_(* #,##0_);_(* \(#,##0\);_(* &quot;-&quot;??_);_(@_)"/>
    <numFmt numFmtId="174" formatCode="_(* #,##0.00000000_);_(* \(#,##0.00000000\);_(* &quot;-&quot;??_);_(@_)"/>
    <numFmt numFmtId="175" formatCode="&quot; $&quot;#,##0.00\ ;&quot;-$&quot;#,##0.00\ ;&quot; $-&quot;#\ ;@\ "/>
    <numFmt numFmtId="176" formatCode="0%;[Red]\(0%\);\-"/>
    <numFmt numFmtId="177" formatCode="&quot;$&quot;#,##0.00"/>
    <numFmt numFmtId="178" formatCode="&quot;$&quot;#,##0.00;[Red]&quot;$&quot;#,##0.00"/>
    <numFmt numFmtId="179" formatCode="0.000000"/>
    <numFmt numFmtId="180" formatCode="#,##0.0000"/>
  </numFmts>
  <fonts count="1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entury Gothic"/>
      <family val="2"/>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10"/>
      <name val="Arial"/>
      <family val="2"/>
    </font>
    <font>
      <sz val="10"/>
      <name val="Arial"/>
      <family val="2"/>
    </font>
    <font>
      <b/>
      <sz val="10"/>
      <name val="Arial"/>
      <family val="2"/>
    </font>
    <font>
      <sz val="9"/>
      <name val="Arial"/>
      <family val="2"/>
    </font>
    <font>
      <sz val="8"/>
      <name val="Arial"/>
      <family val="2"/>
    </font>
    <font>
      <sz val="10"/>
      <name val="Tahoma"/>
      <family val="2"/>
    </font>
    <font>
      <sz val="11"/>
      <name val="Tahoma"/>
      <family val="2"/>
    </font>
    <font>
      <b/>
      <sz val="10"/>
      <name val="Tahoma"/>
      <family val="2"/>
    </font>
    <font>
      <sz val="10"/>
      <name val="Arial"/>
      <family val="2"/>
    </font>
    <font>
      <sz val="10"/>
      <name val="Arial"/>
      <family val="2"/>
    </font>
    <font>
      <sz val="10"/>
      <name val="Arial"/>
      <family val="2"/>
    </font>
    <font>
      <b/>
      <sz val="11"/>
      <name val="Arial"/>
      <family val="2"/>
    </font>
    <font>
      <sz val="11"/>
      <name val="Arial"/>
      <family val="2"/>
    </font>
    <font>
      <sz val="10"/>
      <name val="Arial"/>
      <family val="2"/>
    </font>
    <font>
      <sz val="11"/>
      <color theme="1"/>
      <name val="Calibri"/>
      <family val="2"/>
      <scheme val="minor"/>
    </font>
    <font>
      <b/>
      <sz val="10"/>
      <color theme="0"/>
      <name val="Arial"/>
      <family val="2"/>
    </font>
    <font>
      <b/>
      <sz val="10"/>
      <color rgb="FFC00000"/>
      <name val="Arial"/>
      <family val="2"/>
    </font>
    <font>
      <sz val="10"/>
      <color theme="0"/>
      <name val="Arial"/>
      <family val="2"/>
    </font>
    <font>
      <sz val="10"/>
      <color theme="0"/>
      <name val="Tahoma"/>
      <family val="2"/>
    </font>
    <font>
      <sz val="10"/>
      <color theme="1"/>
      <name val="Tahoma"/>
      <family val="2"/>
    </font>
    <font>
      <b/>
      <sz val="10"/>
      <color theme="1"/>
      <name val="Tahoma"/>
      <family val="2"/>
    </font>
    <font>
      <sz val="8"/>
      <color theme="1"/>
      <name val="Tahoma"/>
      <family val="2"/>
    </font>
    <font>
      <sz val="9"/>
      <color theme="1"/>
      <name val="Tahoma"/>
      <family val="2"/>
    </font>
    <font>
      <b/>
      <sz val="11"/>
      <color rgb="FF59595B"/>
      <name val="Arial"/>
      <family val="2"/>
    </font>
    <font>
      <b/>
      <sz val="10"/>
      <color rgb="FF73243C"/>
      <name val="Arial"/>
      <family val="2"/>
    </font>
    <font>
      <b/>
      <sz val="9"/>
      <color rgb="FF73243C"/>
      <name val="Arial"/>
      <family val="2"/>
    </font>
    <font>
      <b/>
      <sz val="8"/>
      <color rgb="FF73243C"/>
      <name val="Arial"/>
      <family val="2"/>
    </font>
    <font>
      <sz val="8"/>
      <color rgb="FF6F6F6F"/>
      <name val="Arial"/>
      <family val="2"/>
    </font>
    <font>
      <sz val="10"/>
      <color rgb="FFE6E1DD"/>
      <name val="Arial"/>
      <family val="2"/>
    </font>
    <font>
      <u/>
      <sz val="10"/>
      <name val="Arial"/>
      <family val="2"/>
    </font>
    <font>
      <u/>
      <sz val="10"/>
      <color theme="0"/>
      <name val="Tahoma"/>
      <family val="2"/>
    </font>
    <font>
      <b/>
      <sz val="18"/>
      <color rgb="FF73243C"/>
      <name val="Arial"/>
      <family val="2"/>
    </font>
    <font>
      <b/>
      <sz val="14"/>
      <color theme="0"/>
      <name val="Arial"/>
      <family val="2"/>
    </font>
    <font>
      <sz val="14"/>
      <name val="Arial"/>
      <family val="2"/>
    </font>
    <font>
      <sz val="10"/>
      <color rgb="FF183962"/>
      <name val="Arial"/>
      <family val="2"/>
    </font>
    <font>
      <b/>
      <sz val="9"/>
      <color rgb="FF183962"/>
      <name val="Arial"/>
      <family val="2"/>
    </font>
    <font>
      <sz val="9"/>
      <color rgb="FF183962"/>
      <name val="Arial"/>
      <family val="2"/>
    </font>
    <font>
      <sz val="8"/>
      <color rgb="FFFF0000"/>
      <name val="Arial"/>
      <family val="2"/>
    </font>
    <font>
      <b/>
      <sz val="10"/>
      <color rgb="FFF0E1DD"/>
      <name val="Arial"/>
      <family val="2"/>
    </font>
    <font>
      <sz val="10"/>
      <color rgb="FFF0E1DD"/>
      <name val="Arial"/>
      <family val="2"/>
    </font>
    <font>
      <b/>
      <sz val="10"/>
      <color rgb="FFFFFF00"/>
      <name val="Arial"/>
      <family val="2"/>
    </font>
    <font>
      <sz val="10"/>
      <color rgb="FFFF0000"/>
      <name val="Tahoma"/>
      <family val="2"/>
    </font>
    <font>
      <b/>
      <sz val="9"/>
      <name val="Arial"/>
      <family val="2"/>
    </font>
    <font>
      <sz val="8"/>
      <name val="Calibri"/>
      <family val="2"/>
      <scheme val="minor"/>
    </font>
    <font>
      <sz val="9"/>
      <name val="Calibri"/>
      <family val="2"/>
      <scheme val="minor"/>
    </font>
    <font>
      <b/>
      <sz val="9"/>
      <color rgb="FFC00000"/>
      <name val="Calibri"/>
      <family val="2"/>
      <scheme val="minor"/>
    </font>
    <font>
      <b/>
      <sz val="9"/>
      <name val="Calibri"/>
      <family val="2"/>
      <scheme val="minor"/>
    </font>
    <font>
      <b/>
      <sz val="9"/>
      <color rgb="FF73243C"/>
      <name val="Calibri"/>
      <family val="2"/>
      <scheme val="minor"/>
    </font>
    <font>
      <sz val="10"/>
      <color theme="1" tint="0.34998626667073579"/>
      <name val="Arial"/>
      <family val="2"/>
    </font>
    <font>
      <b/>
      <sz val="11"/>
      <color theme="0"/>
      <name val="Arial"/>
      <family val="2"/>
    </font>
    <font>
      <sz val="8"/>
      <name val="Calibri"/>
      <family val="2"/>
      <scheme val="minor"/>
    </font>
    <font>
      <sz val="9"/>
      <color rgb="FF73243C"/>
      <name val="Arial"/>
      <family val="2"/>
    </font>
    <font>
      <u/>
      <sz val="10"/>
      <color indexed="12"/>
      <name val="Arial"/>
      <family val="2"/>
    </font>
    <font>
      <sz val="10"/>
      <color rgb="FF002060"/>
      <name val="Arial"/>
      <family val="2"/>
    </font>
    <font>
      <b/>
      <sz val="9"/>
      <color theme="0"/>
      <name val="Arial"/>
      <family val="2"/>
    </font>
    <font>
      <sz val="10"/>
      <color theme="1"/>
      <name val="Arial"/>
      <family val="2"/>
    </font>
    <font>
      <sz val="10"/>
      <name val="Helv"/>
      <family val="2"/>
    </font>
    <font>
      <sz val="14"/>
      <color theme="0"/>
      <name val="Arial"/>
      <family val="2"/>
    </font>
    <font>
      <b/>
      <sz val="10"/>
      <color theme="1" tint="0.34998626667073579"/>
      <name val="Arial"/>
      <family val="2"/>
    </font>
    <font>
      <b/>
      <sz val="10"/>
      <color theme="1" tint="0.249977111117893"/>
      <name val="Arial"/>
      <family val="2"/>
    </font>
    <font>
      <sz val="10"/>
      <color theme="1" tint="0.249977111117893"/>
      <name val="Arial"/>
      <family val="2"/>
    </font>
    <font>
      <b/>
      <sz val="8"/>
      <color theme="1" tint="0.249977111117893"/>
      <name val="Arial"/>
      <family val="2"/>
    </font>
    <font>
      <sz val="8"/>
      <color theme="1" tint="0.249977111117893"/>
      <name val="Arial"/>
      <family val="2"/>
    </font>
    <font>
      <sz val="8"/>
      <color theme="1"/>
      <name val="Arial Narrow"/>
      <family val="2"/>
    </font>
    <font>
      <b/>
      <sz val="8"/>
      <color theme="1" tint="0.249977111117893"/>
      <name val="Calibri"/>
      <family val="2"/>
      <scheme val="minor"/>
    </font>
    <font>
      <sz val="10"/>
      <name val="Arial Narrow"/>
      <family val="2"/>
    </font>
    <font>
      <b/>
      <sz val="12"/>
      <name val="Arial"/>
      <family val="2"/>
    </font>
    <font>
      <sz val="11"/>
      <name val="Calibri"/>
      <family val="2"/>
    </font>
    <font>
      <sz val="11"/>
      <color indexed="8"/>
      <name val="Calibri"/>
      <family val="2"/>
    </font>
    <font>
      <sz val="1"/>
      <color theme="1"/>
      <name val="Calibri"/>
      <family val="2"/>
      <scheme val="minor"/>
    </font>
    <font>
      <b/>
      <sz val="9"/>
      <color rgb="FFFFFFFF"/>
      <name val="Arial"/>
      <family val="2"/>
    </font>
    <font>
      <sz val="10"/>
      <color rgb="FF226874"/>
      <name val="Arial Rounded MT Bold"/>
      <family val="2"/>
    </font>
    <font>
      <u/>
      <sz val="10"/>
      <color rgb="FF226874"/>
      <name val="Arial"/>
      <family val="2"/>
    </font>
    <font>
      <u/>
      <sz val="10"/>
      <color rgb="FF00B050"/>
      <name val="Arial"/>
      <family val="2"/>
    </font>
    <font>
      <sz val="12"/>
      <color rgb="FF226874"/>
      <name val="Arial"/>
      <family val="2"/>
    </font>
    <font>
      <b/>
      <sz val="10"/>
      <color rgb="FF226874"/>
      <name val="Arial"/>
      <family val="2"/>
    </font>
    <font>
      <sz val="11"/>
      <color rgb="FF226874"/>
      <name val="Arial"/>
      <family val="2"/>
    </font>
    <font>
      <sz val="10"/>
      <name val="Arial Rounded MT Bold"/>
      <family val="2"/>
    </font>
    <font>
      <sz val="12"/>
      <color theme="0"/>
      <name val="Arial Rounded MT Bold"/>
      <family val="2"/>
    </font>
    <font>
      <sz val="10"/>
      <color theme="1" tint="0.249977111117893"/>
      <name val="Arial Narrow"/>
      <family val="2"/>
    </font>
    <font>
      <b/>
      <sz val="10"/>
      <color theme="1" tint="0.249977111117893"/>
      <name val="Arial Narrow"/>
      <family val="2"/>
    </font>
    <font>
      <b/>
      <sz val="10"/>
      <name val="Arial Narrow"/>
      <family val="2"/>
    </font>
    <font>
      <b/>
      <sz val="10"/>
      <color theme="0"/>
      <name val="Arial Narrow"/>
      <family val="2"/>
    </font>
    <font>
      <sz val="20"/>
      <color rgb="FF71CC98"/>
      <name val="Arial"/>
      <family val="2"/>
    </font>
    <font>
      <sz val="12"/>
      <color rgb="FF71CC98"/>
      <name val="Arial Rounded MT Bold"/>
      <family val="2"/>
    </font>
    <font>
      <sz val="10"/>
      <color rgb="FF002060"/>
      <name val="Arial Rounded MT Bold"/>
      <family val="2"/>
    </font>
    <font>
      <sz val="10"/>
      <color rgb="FF68C795"/>
      <name val="Arial Rounded MT Bold"/>
      <family val="2"/>
    </font>
    <font>
      <sz val="8"/>
      <color rgb="FF68C795"/>
      <name val="Arial Rounded MT Bold"/>
      <family val="2"/>
    </font>
    <font>
      <sz val="14"/>
      <color rgb="FF68C795"/>
      <name val="Arial Rounded MT Bold"/>
      <family val="2"/>
    </font>
    <font>
      <sz val="10"/>
      <color theme="8" tint="-0.249977111117893"/>
      <name val="Arial"/>
      <family val="2"/>
    </font>
    <font>
      <sz val="10"/>
      <color theme="8" tint="-0.249977111117893"/>
      <name val="Arial Rounded MT Bold"/>
      <family val="2"/>
    </font>
    <font>
      <sz val="10"/>
      <color rgb="FF267480"/>
      <name val="Arial"/>
      <family val="2"/>
    </font>
    <font>
      <sz val="13"/>
      <color theme="0"/>
      <name val="Arial Rounded MT Bold"/>
      <family val="2"/>
    </font>
    <font>
      <b/>
      <sz val="11"/>
      <color rgb="FFFA7D00"/>
      <name val="Calibri"/>
      <family val="2"/>
      <scheme val="minor"/>
    </font>
    <font>
      <sz val="10"/>
      <name val="Calibri"/>
      <family val="2"/>
      <scheme val="minor"/>
    </font>
    <font>
      <sz val="10"/>
      <color rgb="FF73243C"/>
      <name val="Calibri"/>
      <family val="2"/>
      <scheme val="minor"/>
    </font>
    <font>
      <sz val="10"/>
      <color indexed="9"/>
      <name val="Calibri"/>
      <family val="2"/>
      <scheme val="minor"/>
    </font>
    <font>
      <sz val="12"/>
      <name val="Arial Rounded MT Bold"/>
      <family val="2"/>
    </font>
    <font>
      <sz val="10"/>
      <color rgb="FF73243C"/>
      <name val="Arial Rounded MT Bold"/>
      <family val="2"/>
    </font>
    <font>
      <b/>
      <sz val="10"/>
      <color rgb="FF007681"/>
      <name val="Arial"/>
      <family val="2"/>
    </font>
    <font>
      <b/>
      <sz val="11"/>
      <color rgb="FFFA7D00"/>
      <name val="Arial"/>
      <family val="2"/>
    </font>
    <font>
      <sz val="10"/>
      <color rgb="FF73243C"/>
      <name val="Arial"/>
      <family val="2"/>
    </font>
    <font>
      <b/>
      <sz val="10"/>
      <color rgb="FFFA7D00"/>
      <name val="Arial"/>
      <family val="2"/>
    </font>
    <font>
      <b/>
      <sz val="10"/>
      <color rgb="FF00B050"/>
      <name val="Arial"/>
      <family val="2"/>
    </font>
    <font>
      <sz val="18"/>
      <color theme="0"/>
      <name val="Century Gothic"/>
      <family val="2"/>
    </font>
    <font>
      <b/>
      <sz val="10"/>
      <color rgb="FF03626F"/>
      <name val="Arial"/>
      <family val="2"/>
    </font>
    <font>
      <sz val="9"/>
      <name val="Tahoma"/>
      <family val="2"/>
    </font>
    <font>
      <b/>
      <sz val="9"/>
      <name val="Tahoma"/>
      <family val="2"/>
    </font>
    <font>
      <sz val="9"/>
      <color theme="0"/>
      <name val="Tahoma"/>
      <family val="2"/>
    </font>
    <font>
      <sz val="9"/>
      <color theme="0"/>
      <name val="Arial"/>
      <family val="2"/>
    </font>
    <font>
      <b/>
      <sz val="10"/>
      <name val="Calibri Light"/>
      <family val="2"/>
    </font>
    <font>
      <sz val="10"/>
      <name val="Calibri Light"/>
      <family val="2"/>
    </font>
    <font>
      <b/>
      <sz val="10"/>
      <color theme="0"/>
      <name val="Cambria"/>
      <family val="1"/>
    </font>
    <font>
      <sz val="9"/>
      <color theme="1"/>
      <name val="Arial"/>
      <family val="2"/>
    </font>
    <font>
      <b/>
      <sz val="9"/>
      <color theme="1"/>
      <name val="Arial"/>
      <family val="2"/>
    </font>
    <font>
      <sz val="9"/>
      <color theme="0" tint="-0.499984740745262"/>
      <name val="Arial"/>
      <family val="2"/>
    </font>
    <font>
      <b/>
      <sz val="10"/>
      <color rgb="FFFF0000"/>
      <name val="Arial"/>
      <family val="2"/>
    </font>
    <font>
      <sz val="9"/>
      <color theme="1" tint="0.249977111117893"/>
      <name val="Arial Rounded MT Bold"/>
      <family val="2"/>
    </font>
    <font>
      <b/>
      <sz val="10"/>
      <color rgb="FF73243C"/>
      <name val="Calibri"/>
      <family val="2"/>
      <scheme val="minor"/>
    </font>
    <font>
      <sz val="10"/>
      <color theme="1" tint="0.249977111117893"/>
      <name val="Arial Rounded MT Bold"/>
      <family val="2"/>
    </font>
    <font>
      <b/>
      <sz val="12"/>
      <color theme="0" tint="-0.499984740745262"/>
      <name val="Verdana"/>
      <family val="2"/>
    </font>
    <font>
      <sz val="10"/>
      <color theme="0" tint="-0.499984740745262"/>
      <name val="Verdana"/>
      <family val="2"/>
    </font>
    <font>
      <sz val="10"/>
      <color rgb="FF03626F"/>
      <name val="Verdana"/>
      <family val="2"/>
    </font>
    <font>
      <sz val="12"/>
      <color rgb="FF87CFC8"/>
      <name val="Verdana"/>
      <family val="2"/>
    </font>
    <font>
      <i/>
      <sz val="9"/>
      <color rgb="FFD1EBDA"/>
      <name val="Calibri"/>
      <family val="2"/>
      <scheme val="minor"/>
    </font>
    <font>
      <b/>
      <sz val="9"/>
      <color rgb="FF03626F"/>
      <name val="Arial"/>
      <family val="2"/>
    </font>
    <font>
      <b/>
      <sz val="9"/>
      <color theme="1" tint="0.249977111117893"/>
      <name val="Arial"/>
      <family val="2"/>
    </font>
    <font>
      <sz val="9"/>
      <color rgb="FF68C795"/>
      <name val="Arial Rounded MT Bold"/>
      <family val="2"/>
    </font>
    <font>
      <sz val="11"/>
      <color theme="0"/>
      <name val="Arial Narrow"/>
      <family val="2"/>
    </font>
    <font>
      <sz val="9"/>
      <color rgb="FF03626F"/>
      <name val="Arial Rounded MT Bold"/>
      <family val="2"/>
    </font>
    <font>
      <sz val="10"/>
      <color rgb="FF267480"/>
      <name val="Verdana"/>
      <family val="2"/>
    </font>
    <font>
      <b/>
      <sz val="8"/>
      <color theme="0"/>
      <name val="Arial"/>
      <family val="2"/>
    </font>
    <font>
      <sz val="14"/>
      <color theme="0"/>
      <name val="Arial Rounded MT Bold"/>
      <family val="2"/>
    </font>
    <font>
      <b/>
      <sz val="8"/>
      <color rgb="FF03626F"/>
      <name val="Arial"/>
      <family val="2"/>
    </font>
    <font>
      <sz val="8"/>
      <color theme="0" tint="-0.499984740745262"/>
      <name val="Arial"/>
      <family val="2"/>
    </font>
    <font>
      <b/>
      <sz val="10"/>
      <color theme="0"/>
      <name val="Calibri"/>
      <family val="2"/>
      <scheme val="minor"/>
    </font>
    <font>
      <b/>
      <sz val="12"/>
      <color theme="0"/>
      <name val="Arial"/>
      <family val="2"/>
    </font>
    <font>
      <sz val="12"/>
      <color rgb="FF0070C0"/>
      <name val="Arial"/>
      <family val="2"/>
    </font>
    <font>
      <b/>
      <sz val="10"/>
      <color rgb="FF226874"/>
      <name val="Arial Narrow"/>
      <family val="2"/>
    </font>
    <font>
      <sz val="9"/>
      <color theme="1" tint="0.34998626667073579"/>
      <name val="Calibri"/>
      <family val="2"/>
      <scheme val="minor"/>
    </font>
    <font>
      <b/>
      <sz val="8"/>
      <color indexed="9"/>
      <name val="Calibri"/>
      <family val="2"/>
      <scheme val="minor"/>
    </font>
    <font>
      <b/>
      <sz val="9"/>
      <color indexed="9"/>
      <name val="Calibri"/>
      <family val="2"/>
      <scheme val="minor"/>
    </font>
    <font>
      <sz val="10"/>
      <color rgb="FFD1EBDA"/>
      <name val="Arial"/>
      <family val="2"/>
    </font>
    <font>
      <sz val="8"/>
      <name val="Tahoma"/>
      <family val="2"/>
    </font>
    <font>
      <b/>
      <sz val="9"/>
      <color theme="1" tint="0.249977111117893"/>
      <name val="Calibri"/>
      <family val="2"/>
      <scheme val="minor"/>
    </font>
    <font>
      <sz val="8"/>
      <color theme="1" tint="0.249977111117893"/>
      <name val="Calibri"/>
      <family val="2"/>
      <scheme val="minor"/>
    </font>
    <font>
      <sz val="9"/>
      <color theme="1" tint="0.249977111117893"/>
      <name val="Calibri"/>
      <family val="2"/>
      <scheme val="minor"/>
    </font>
    <font>
      <b/>
      <sz val="8"/>
      <color theme="0"/>
      <name val="Tahoma"/>
      <family val="2"/>
    </font>
    <font>
      <b/>
      <sz val="8"/>
      <name val="Tahoma"/>
      <family val="2"/>
    </font>
    <font>
      <sz val="9"/>
      <color theme="0"/>
      <name val="Arial Rounded MT Bold"/>
      <family val="2"/>
    </font>
    <font>
      <sz val="8"/>
      <color theme="0" tint="-0.499984740745262"/>
      <name val="Verdana"/>
      <family val="2"/>
    </font>
    <font>
      <b/>
      <sz val="10"/>
      <color rgb="FFD1EBDA"/>
      <name val="Arial Narrow"/>
      <family val="2"/>
    </font>
    <font>
      <sz val="14"/>
      <color rgb="FFD1EBDA"/>
      <name val="Arial"/>
      <family val="2"/>
    </font>
  </fonts>
  <fills count="3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E6E1DD"/>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rgb="FFD8E4F3"/>
        <bgColor indexed="64"/>
      </patternFill>
    </fill>
    <fill>
      <patternFill patternType="lightGrid">
        <fgColor theme="0" tint="-0.14996795556505021"/>
        <bgColor auto="1"/>
      </patternFill>
    </fill>
    <fill>
      <patternFill patternType="solid">
        <fgColor theme="8" tint="0.59999389629810485"/>
        <bgColor indexed="64"/>
      </patternFill>
    </fill>
    <fill>
      <patternFill patternType="lightGrid">
        <fgColor theme="0" tint="-4.9989318521683403E-2"/>
        <bgColor theme="0"/>
      </patternFill>
    </fill>
    <fill>
      <patternFill patternType="solid">
        <fgColor rgb="FF226874"/>
        <bgColor indexed="64"/>
      </patternFill>
    </fill>
    <fill>
      <patternFill patternType="solid">
        <fgColor theme="0"/>
        <bgColor rgb="FFD1EBDA"/>
      </patternFill>
    </fill>
    <fill>
      <patternFill patternType="solid">
        <fgColor rgb="FFD1EBDA"/>
        <bgColor indexed="64"/>
      </patternFill>
    </fill>
    <fill>
      <patternFill patternType="solid">
        <fgColor rgb="FF03626F"/>
        <bgColor indexed="64"/>
      </patternFill>
    </fill>
    <fill>
      <patternFill patternType="solid">
        <fgColor rgb="FF71CC98"/>
        <bgColor indexed="64"/>
      </patternFill>
    </fill>
    <fill>
      <patternFill patternType="solid">
        <fgColor theme="0"/>
        <bgColor auto="1"/>
      </patternFill>
    </fill>
    <fill>
      <patternFill patternType="solid">
        <fgColor rgb="FFF2F2F2"/>
      </patternFill>
    </fill>
    <fill>
      <patternFill patternType="solid">
        <fgColor rgb="FFFFC000"/>
        <bgColor indexed="64"/>
      </patternFill>
    </fill>
    <fill>
      <patternFill patternType="solid">
        <fgColor theme="0" tint="-4.9989318521683403E-2"/>
        <bgColor indexed="64"/>
      </patternFill>
    </fill>
    <fill>
      <patternFill patternType="solid">
        <fgColor rgb="FF007681"/>
        <bgColor indexed="64"/>
      </patternFill>
    </fill>
    <fill>
      <patternFill patternType="solid">
        <fgColor theme="0"/>
        <bgColor theme="0" tint="-4.9989318521683403E-2"/>
      </patternFill>
    </fill>
    <fill>
      <patternFill patternType="solid">
        <fgColor theme="0"/>
        <bgColor theme="0" tint="-0.14996795556505021"/>
      </patternFill>
    </fill>
    <fill>
      <patternFill patternType="lightGrid">
        <fgColor theme="0"/>
        <bgColor theme="0"/>
      </patternFill>
    </fill>
    <fill>
      <patternFill patternType="solid">
        <fgColor theme="2"/>
        <bgColor indexed="64"/>
      </patternFill>
    </fill>
    <fill>
      <patternFill patternType="solid">
        <fgColor rgb="FF68C795"/>
        <bgColor indexed="64"/>
      </patternFill>
    </fill>
    <fill>
      <patternFill patternType="solid">
        <fgColor rgb="FF72C9B7"/>
        <bgColor indexed="64"/>
      </patternFill>
    </fill>
    <fill>
      <patternFill patternType="solid">
        <fgColor rgb="FFE46D0A"/>
        <bgColor indexed="64"/>
      </patternFill>
    </fill>
    <fill>
      <patternFill patternType="solid">
        <fgColor rgb="FFFFFF66"/>
        <bgColor indexed="64"/>
      </patternFill>
    </fill>
  </fills>
  <borders count="164">
    <border>
      <left/>
      <right/>
      <top/>
      <bottom/>
      <diagonal/>
    </border>
    <border>
      <left/>
      <right/>
      <top/>
      <bottom style="medium">
        <color rgb="FF73243C"/>
      </bottom>
      <diagonal/>
    </border>
    <border>
      <left style="thin">
        <color rgb="FF73243C"/>
      </left>
      <right/>
      <top style="thin">
        <color rgb="FF73243C"/>
      </top>
      <bottom/>
      <diagonal/>
    </border>
    <border>
      <left style="thin">
        <color rgb="FF73243C"/>
      </left>
      <right style="thin">
        <color rgb="FF73243C"/>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indexed="64"/>
      </left>
      <right style="medium">
        <color indexed="64"/>
      </right>
      <top style="medium">
        <color indexed="64"/>
      </top>
      <bottom style="hair">
        <color auto="1"/>
      </bottom>
      <diagonal/>
    </border>
    <border>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auto="1"/>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auto="1"/>
      </left>
      <right style="medium">
        <color indexed="64"/>
      </right>
      <top style="hair">
        <color auto="1"/>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499984740745262"/>
      </bottom>
      <diagonal/>
    </border>
    <border>
      <left/>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theme="0" tint="-0.34998626667073579"/>
      </left>
      <right style="thin">
        <color theme="0" tint="-0.34998626667073579"/>
      </right>
      <top/>
      <bottom style="thin">
        <color theme="0" tint="-0.34998626667073579"/>
      </bottom>
      <diagonal/>
    </border>
    <border>
      <left style="thin">
        <color rgb="FF7F7F7F"/>
      </left>
      <right style="thin">
        <color rgb="FF7F7F7F"/>
      </right>
      <top/>
      <bottom style="thin">
        <color rgb="FF7F7F7F"/>
      </bottom>
      <diagonal/>
    </border>
    <border>
      <left style="thin">
        <color theme="0" tint="-0.249977111117893"/>
      </left>
      <right/>
      <top style="thin">
        <color theme="0" tint="-0.249977111117893"/>
      </top>
      <bottom style="thin">
        <color theme="0" tint="-0.249977111117893"/>
      </bottom>
      <diagonal/>
    </border>
    <border>
      <left style="thin">
        <color rgb="FF7F7F7F"/>
      </left>
      <right/>
      <top style="thin">
        <color rgb="FF7F7F7F"/>
      </top>
      <bottom style="thin">
        <color rgb="FF7F7F7F"/>
      </bottom>
      <diagonal/>
    </border>
    <border>
      <left style="thin">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medium">
        <color indexed="64"/>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thin">
        <color rgb="FF7F7F7F"/>
      </left>
      <right/>
      <top style="thin">
        <color rgb="FF7F7F7F"/>
      </top>
      <bottom/>
      <diagonal/>
    </border>
    <border>
      <left style="thin">
        <color rgb="FF7F7F7F"/>
      </left>
      <right style="thin">
        <color rgb="FF7F7F7F"/>
      </right>
      <top style="thin">
        <color rgb="FF7F7F7F"/>
      </top>
      <bottom/>
      <diagonal/>
    </border>
    <border>
      <left style="thin">
        <color theme="0" tint="-0.249977111117893"/>
      </left>
      <right/>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style="thin">
        <color rgb="FF73243C"/>
      </right>
      <top/>
      <bottom style="thin">
        <color indexed="64"/>
      </bottom>
      <diagonal/>
    </border>
    <border>
      <left style="thin">
        <color rgb="FF73243C"/>
      </left>
      <right style="thin">
        <color rgb="FF73243C"/>
      </right>
      <top/>
      <bottom style="thin">
        <color indexed="64"/>
      </bottom>
      <diagonal/>
    </border>
    <border>
      <left style="thin">
        <color rgb="FF73243C"/>
      </left>
      <right style="thin">
        <color indexed="64"/>
      </right>
      <top/>
      <bottom style="thin">
        <color indexed="64"/>
      </bottom>
      <diagonal/>
    </border>
    <border>
      <left style="thin">
        <color theme="0" tint="-0.249977111117893"/>
      </left>
      <right style="thin">
        <color theme="0" tint="-0.34998626667073579"/>
      </right>
      <top style="thin">
        <color indexed="64"/>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249977111117893"/>
      </bottom>
      <diagonal/>
    </border>
    <border>
      <left style="thin">
        <color theme="0" tint="-0.249977111117893"/>
      </left>
      <right style="thin">
        <color theme="0" tint="-0.34998626667073579"/>
      </right>
      <top style="thin">
        <color theme="0" tint="-0.249977111117893"/>
      </top>
      <bottom style="medium">
        <color indexed="64"/>
      </bottom>
      <diagonal/>
    </border>
    <border>
      <left style="thin">
        <color rgb="FF7F7F7F"/>
      </left>
      <right style="thin">
        <color theme="0" tint="-0.34998626667073579"/>
      </right>
      <top style="thin">
        <color rgb="FF7F7F7F"/>
      </top>
      <bottom style="thin">
        <color rgb="FF7F7F7F"/>
      </bottom>
      <diagonal/>
    </border>
    <border>
      <left style="thin">
        <color theme="0" tint="-0.249977111117893"/>
      </left>
      <right style="thin">
        <color theme="0" tint="-0.34998626667073579"/>
      </right>
      <top style="medium">
        <color indexed="64"/>
      </top>
      <bottom style="thin">
        <color theme="0" tint="-0.249977111117893"/>
      </bottom>
      <diagonal/>
    </border>
    <border>
      <left style="thin">
        <color theme="0" tint="-0.249977111117893"/>
      </left>
      <right style="thin">
        <color theme="0" tint="-0.34998626667073579"/>
      </right>
      <top style="thin">
        <color rgb="FF7F7F7F"/>
      </top>
      <bottom style="thin">
        <color theme="0" tint="-0.249977111117893"/>
      </bottom>
      <diagonal/>
    </border>
    <border>
      <left style="thin">
        <color theme="0" tint="-0.249977111117893"/>
      </left>
      <right style="thin">
        <color theme="0" tint="-0.34998626667073579"/>
      </right>
      <top style="thin">
        <color theme="0" tint="-0.249977111117893"/>
      </top>
      <bottom style="thin">
        <color rgb="FF7F7F7F"/>
      </bottom>
      <diagonal/>
    </border>
    <border>
      <left style="thin">
        <color rgb="FF7F7F7F"/>
      </left>
      <right style="thin">
        <color theme="0" tint="-0.34998626667073579"/>
      </right>
      <top style="thin">
        <color rgb="FF7F7F7F"/>
      </top>
      <bottom/>
      <diagonal/>
    </border>
    <border>
      <left style="thin">
        <color rgb="FF007681"/>
      </left>
      <right/>
      <top style="thin">
        <color rgb="FF007681"/>
      </top>
      <bottom/>
      <diagonal/>
    </border>
    <border>
      <left/>
      <right/>
      <top style="thin">
        <color rgb="FF007681"/>
      </top>
      <bottom/>
      <diagonal/>
    </border>
    <border>
      <left/>
      <right style="thin">
        <color rgb="FF007681"/>
      </right>
      <top style="thin">
        <color rgb="FF007681"/>
      </top>
      <bottom/>
      <diagonal/>
    </border>
    <border>
      <left style="thin">
        <color rgb="FF007681"/>
      </left>
      <right/>
      <top style="thin">
        <color rgb="FF007681"/>
      </top>
      <bottom style="medium">
        <color rgb="FF007681"/>
      </bottom>
      <diagonal/>
    </border>
    <border>
      <left/>
      <right/>
      <top style="thin">
        <color rgb="FF007681"/>
      </top>
      <bottom style="medium">
        <color rgb="FF007681"/>
      </bottom>
      <diagonal/>
    </border>
    <border>
      <left/>
      <right style="thin">
        <color rgb="FF007681"/>
      </right>
      <top style="thin">
        <color rgb="FF007681"/>
      </top>
      <bottom style="medium">
        <color rgb="FF007681"/>
      </bottom>
      <diagonal/>
    </border>
    <border>
      <left style="thin">
        <color rgb="FF007681"/>
      </left>
      <right/>
      <top/>
      <bottom/>
      <diagonal/>
    </border>
    <border>
      <left/>
      <right style="thin">
        <color rgb="FF007681"/>
      </right>
      <top/>
      <bottom/>
      <diagonal/>
    </border>
    <border>
      <left style="thin">
        <color rgb="FF007681"/>
      </left>
      <right/>
      <top style="medium">
        <color rgb="FF007681"/>
      </top>
      <bottom/>
      <diagonal/>
    </border>
    <border>
      <left/>
      <right/>
      <top style="medium">
        <color rgb="FF007681"/>
      </top>
      <bottom/>
      <diagonal/>
    </border>
    <border>
      <left/>
      <right style="thin">
        <color rgb="FF007681"/>
      </right>
      <top style="medium">
        <color rgb="FF007681"/>
      </top>
      <bottom/>
      <diagonal/>
    </border>
    <border>
      <left style="thin">
        <color rgb="FF007681"/>
      </left>
      <right/>
      <top/>
      <bottom style="thin">
        <color rgb="FF007681"/>
      </bottom>
      <diagonal/>
    </border>
    <border>
      <left/>
      <right/>
      <top/>
      <bottom style="thin">
        <color rgb="FF007681"/>
      </bottom>
      <diagonal/>
    </border>
    <border>
      <left/>
      <right style="thin">
        <color rgb="FF007681"/>
      </right>
      <top/>
      <bottom style="thin">
        <color rgb="FF007681"/>
      </bottom>
      <diagonal/>
    </border>
    <border>
      <left style="thin">
        <color rgb="FF007681"/>
      </left>
      <right/>
      <top style="thin">
        <color rgb="FF007681"/>
      </top>
      <bottom style="thin">
        <color rgb="FF007681"/>
      </bottom>
      <diagonal/>
    </border>
    <border>
      <left/>
      <right/>
      <top style="thin">
        <color rgb="FF007681"/>
      </top>
      <bottom style="thin">
        <color rgb="FF007681"/>
      </bottom>
      <diagonal/>
    </border>
    <border>
      <left/>
      <right style="thin">
        <color rgb="FF007681"/>
      </right>
      <top style="thin">
        <color rgb="FF007681"/>
      </top>
      <bottom style="thin">
        <color rgb="FF007681"/>
      </bottom>
      <diagonal/>
    </border>
    <border>
      <left/>
      <right/>
      <top style="thin">
        <color rgb="FF007681"/>
      </top>
      <bottom style="thin">
        <color indexed="64"/>
      </bottom>
      <diagonal/>
    </border>
    <border>
      <left/>
      <right style="thin">
        <color rgb="FF007681"/>
      </right>
      <top style="thin">
        <color rgb="FF00768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249977111117893"/>
      </bottom>
      <diagonal/>
    </border>
    <border>
      <left/>
      <right/>
      <top style="thin">
        <color theme="0" tint="-0.499984740745262"/>
      </top>
      <bottom style="thin">
        <color theme="0" tint="-0.499984740745262"/>
      </bottom>
      <diagonal/>
    </border>
    <border>
      <left/>
      <right/>
      <top style="thin">
        <color theme="0" tint="-0.34998626667073579"/>
      </top>
      <bottom style="thin">
        <color theme="0" tint="-0.34998626667073579"/>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indexed="64"/>
      </left>
      <right style="thin">
        <color indexed="64"/>
      </right>
      <top style="thin">
        <color indexed="64"/>
      </top>
      <bottom/>
      <diagonal/>
    </border>
    <border>
      <left style="thin">
        <color rgb="FF03626F"/>
      </left>
      <right style="thin">
        <color rgb="FF03626F"/>
      </right>
      <top style="thin">
        <color rgb="FF03626F"/>
      </top>
      <bottom style="thin">
        <color rgb="FF03626F"/>
      </bottom>
      <diagonal/>
    </border>
    <border>
      <left style="medium">
        <color rgb="FF03626F"/>
      </left>
      <right style="thin">
        <color rgb="FF73243C"/>
      </right>
      <top style="medium">
        <color rgb="FF03626F"/>
      </top>
      <bottom/>
      <diagonal/>
    </border>
    <border>
      <left style="thin">
        <color rgb="FF73243C"/>
      </left>
      <right style="thin">
        <color rgb="FF73243C"/>
      </right>
      <top style="medium">
        <color rgb="FF03626F"/>
      </top>
      <bottom/>
      <diagonal/>
    </border>
    <border>
      <left style="thin">
        <color rgb="FF73243C"/>
      </left>
      <right style="medium">
        <color rgb="FF03626F"/>
      </right>
      <top style="medium">
        <color rgb="FF03626F"/>
      </top>
      <bottom/>
      <diagonal/>
    </border>
    <border>
      <left style="thin">
        <color rgb="FF73243C"/>
      </left>
      <right/>
      <top/>
      <bottom/>
      <diagonal/>
    </border>
    <border>
      <left style="thin">
        <color rgb="FF03626F"/>
      </left>
      <right/>
      <top style="thin">
        <color rgb="FF03626F"/>
      </top>
      <bottom style="thin">
        <color rgb="FF03626F"/>
      </bottom>
      <diagonal/>
    </border>
    <border>
      <left/>
      <right/>
      <top style="thin">
        <color rgb="FF03626F"/>
      </top>
      <bottom style="thin">
        <color rgb="FF03626F"/>
      </bottom>
      <diagonal/>
    </border>
    <border>
      <left/>
      <right style="thin">
        <color rgb="FF03626F"/>
      </right>
      <top style="thin">
        <color rgb="FF03626F"/>
      </top>
      <bottom style="thin">
        <color rgb="FF03626F"/>
      </bottom>
      <diagonal/>
    </border>
    <border>
      <left style="thin">
        <color rgb="FF03626F"/>
      </left>
      <right/>
      <top style="thin">
        <color rgb="FF03626F"/>
      </top>
      <bottom/>
      <diagonal/>
    </border>
    <border>
      <left/>
      <right style="thin">
        <color rgb="FF03626F"/>
      </right>
      <top style="thin">
        <color rgb="FF03626F"/>
      </top>
      <bottom/>
      <diagonal/>
    </border>
    <border>
      <left/>
      <right/>
      <top style="thin">
        <color rgb="FF03626F"/>
      </top>
      <bottom/>
      <diagonal/>
    </border>
    <border>
      <left style="medium">
        <color rgb="FF03626F"/>
      </left>
      <right style="thin">
        <color rgb="FF03626F"/>
      </right>
      <top style="medium">
        <color rgb="FF03626F"/>
      </top>
      <bottom style="thin">
        <color rgb="FF03626F"/>
      </bottom>
      <diagonal/>
    </border>
    <border>
      <left style="thin">
        <color rgb="FF03626F"/>
      </left>
      <right style="medium">
        <color rgb="FF03626F"/>
      </right>
      <top style="medium">
        <color rgb="FF03626F"/>
      </top>
      <bottom style="thin">
        <color rgb="FF03626F"/>
      </bottom>
      <diagonal/>
    </border>
    <border>
      <left style="medium">
        <color rgb="FF03626F"/>
      </left>
      <right style="thin">
        <color rgb="FF03626F"/>
      </right>
      <top style="thin">
        <color rgb="FF03626F"/>
      </top>
      <bottom style="thin">
        <color rgb="FF03626F"/>
      </bottom>
      <diagonal/>
    </border>
    <border>
      <left style="thin">
        <color rgb="FF03626F"/>
      </left>
      <right style="medium">
        <color rgb="FF03626F"/>
      </right>
      <top style="thin">
        <color rgb="FF03626F"/>
      </top>
      <bottom style="thin">
        <color rgb="FF03626F"/>
      </bottom>
      <diagonal/>
    </border>
    <border>
      <left style="medium">
        <color rgb="FF03626F"/>
      </left>
      <right style="thin">
        <color rgb="FF03626F"/>
      </right>
      <top style="thin">
        <color rgb="FF03626F"/>
      </top>
      <bottom style="medium">
        <color rgb="FF03626F"/>
      </bottom>
      <diagonal/>
    </border>
    <border>
      <left style="thin">
        <color rgb="FF03626F"/>
      </left>
      <right style="medium">
        <color rgb="FF03626F"/>
      </right>
      <top style="thin">
        <color rgb="FF03626F"/>
      </top>
      <bottom style="medium">
        <color rgb="FF03626F"/>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right/>
      <top style="medium">
        <color indexed="64"/>
      </top>
      <bottom style="hair">
        <color auto="1"/>
      </bottom>
      <diagonal/>
    </border>
    <border>
      <left/>
      <right/>
      <top style="hair">
        <color auto="1"/>
      </top>
      <bottom style="medium">
        <color indexed="64"/>
      </bottom>
      <diagonal/>
    </border>
    <border>
      <left/>
      <right style="thin">
        <color theme="0" tint="-0.34998626667073579"/>
      </right>
      <top/>
      <bottom/>
      <diagonal/>
    </border>
    <border>
      <left/>
      <right style="thin">
        <color theme="0" tint="-0.499984740745262"/>
      </right>
      <top/>
      <bottom/>
      <diagonal/>
    </border>
    <border>
      <left style="hair">
        <color indexed="64"/>
      </left>
      <right/>
      <top style="hair">
        <color indexed="64"/>
      </top>
      <bottom style="hair">
        <color indexed="64"/>
      </bottom>
      <diagonal/>
    </border>
    <border>
      <left style="medium">
        <color rgb="FF03626F"/>
      </left>
      <right style="medium">
        <color rgb="FF03626F"/>
      </right>
      <top style="medium">
        <color rgb="FF03626F"/>
      </top>
      <bottom style="medium">
        <color rgb="FF03626F"/>
      </bottom>
      <diagonal/>
    </border>
    <border>
      <left style="medium">
        <color rgb="FF03626F"/>
      </left>
      <right style="hair">
        <color indexed="64"/>
      </right>
      <top style="hair">
        <color indexed="64"/>
      </top>
      <bottom style="hair">
        <color indexed="64"/>
      </bottom>
      <diagonal/>
    </border>
    <border>
      <left style="hair">
        <color indexed="64"/>
      </left>
      <right style="medium">
        <color rgb="FF03626F"/>
      </right>
      <top style="hair">
        <color indexed="64"/>
      </top>
      <bottom style="hair">
        <color indexed="64"/>
      </bottom>
      <diagonal/>
    </border>
    <border>
      <left style="medium">
        <color rgb="FF03626F"/>
      </left>
      <right style="hair">
        <color indexed="64"/>
      </right>
      <top style="hair">
        <color indexed="64"/>
      </top>
      <bottom style="medium">
        <color rgb="FF03626F"/>
      </bottom>
      <diagonal/>
    </border>
    <border>
      <left style="hair">
        <color indexed="64"/>
      </left>
      <right style="hair">
        <color indexed="64"/>
      </right>
      <top style="hair">
        <color indexed="64"/>
      </top>
      <bottom style="medium">
        <color rgb="FF03626F"/>
      </bottom>
      <diagonal/>
    </border>
    <border>
      <left style="hair">
        <color indexed="64"/>
      </left>
      <right style="medium">
        <color rgb="FF03626F"/>
      </right>
      <top style="hair">
        <color indexed="64"/>
      </top>
      <bottom style="medium">
        <color rgb="FF03626F"/>
      </bottom>
      <diagonal/>
    </border>
    <border>
      <left style="hair">
        <color indexed="64"/>
      </left>
      <right/>
      <top style="hair">
        <color indexed="64"/>
      </top>
      <bottom style="medium">
        <color rgb="FF03626F"/>
      </bottom>
      <diagonal/>
    </border>
    <border>
      <left style="medium">
        <color rgb="FF03626F"/>
      </left>
      <right style="medium">
        <color rgb="FF03626F"/>
      </right>
      <top style="hair">
        <color indexed="64"/>
      </top>
      <bottom style="hair">
        <color indexed="64"/>
      </bottom>
      <diagonal/>
    </border>
    <border>
      <left style="medium">
        <color rgb="FF03626F"/>
      </left>
      <right style="medium">
        <color rgb="FF03626F"/>
      </right>
      <top style="hair">
        <color indexed="64"/>
      </top>
      <bottom style="medium">
        <color rgb="FF03626F"/>
      </bottom>
      <diagonal/>
    </border>
    <border>
      <left style="medium">
        <color rgb="FF03626F"/>
      </left>
      <right/>
      <top style="medium">
        <color rgb="FF03626F"/>
      </top>
      <bottom style="medium">
        <color rgb="FF03626F"/>
      </bottom>
      <diagonal/>
    </border>
    <border>
      <left/>
      <right/>
      <top style="medium">
        <color rgb="FF03626F"/>
      </top>
      <bottom style="medium">
        <color rgb="FF03626F"/>
      </bottom>
      <diagonal/>
    </border>
    <border>
      <left/>
      <right style="medium">
        <color rgb="FF03626F"/>
      </right>
      <top style="medium">
        <color rgb="FF03626F"/>
      </top>
      <bottom style="medium">
        <color rgb="FF03626F"/>
      </bottom>
      <diagonal/>
    </border>
    <border>
      <left style="medium">
        <color rgb="FF03626F"/>
      </left>
      <right style="medium">
        <color rgb="FF03626F"/>
      </right>
      <top/>
      <bottom style="hair">
        <color indexed="64"/>
      </bottom>
      <diagonal/>
    </border>
    <border>
      <left style="medium">
        <color rgb="FF03626F"/>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rgb="FF03626F"/>
      </right>
      <top/>
      <bottom style="hair">
        <color indexed="64"/>
      </bottom>
      <diagonal/>
    </border>
    <border>
      <left style="medium">
        <color rgb="FF03626F"/>
      </left>
      <right/>
      <top/>
      <bottom/>
      <diagonal/>
    </border>
    <border>
      <left style="dotted">
        <color rgb="FF03626F"/>
      </left>
      <right style="dotted">
        <color rgb="FF03626F"/>
      </right>
      <top style="dotted">
        <color rgb="FF03626F"/>
      </top>
      <bottom style="dotted">
        <color rgb="FF03626F"/>
      </bottom>
      <diagonal/>
    </border>
    <border>
      <left style="thin">
        <color rgb="FF03626F"/>
      </left>
      <right/>
      <top/>
      <bottom/>
      <diagonal/>
    </border>
    <border>
      <left style="dotted">
        <color rgb="FF03626F"/>
      </left>
      <right/>
      <top style="dotted">
        <color rgb="FF03626F"/>
      </top>
      <bottom style="dotted">
        <color rgb="FF03626F"/>
      </bottom>
      <diagonal/>
    </border>
    <border>
      <left/>
      <right style="dotted">
        <color rgb="FF03626F"/>
      </right>
      <top style="dotted">
        <color rgb="FF03626F"/>
      </top>
      <bottom style="dotted">
        <color rgb="FF03626F"/>
      </bottom>
      <diagonal/>
    </border>
    <border>
      <left/>
      <right/>
      <top/>
      <bottom style="medium">
        <color rgb="FF03626F"/>
      </bottom>
      <diagonal/>
    </border>
    <border>
      <left/>
      <right style="medium">
        <color rgb="FF03626F"/>
      </right>
      <top/>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thin">
        <color rgb="FF03626F"/>
      </left>
      <right/>
      <top/>
      <bottom style="thin">
        <color rgb="FF03626F"/>
      </bottom>
      <diagonal/>
    </border>
    <border>
      <left/>
      <right/>
      <top/>
      <bottom style="thin">
        <color rgb="FF03626F"/>
      </bottom>
      <diagonal/>
    </border>
    <border>
      <left/>
      <right style="thin">
        <color rgb="FF03626F"/>
      </right>
      <top/>
      <bottom style="thin">
        <color rgb="FF03626F"/>
      </bottom>
      <diagonal/>
    </border>
    <border>
      <left style="thin">
        <color theme="1" tint="0.34998626667073579"/>
      </left>
      <right style="dotted">
        <color rgb="FF03626F"/>
      </right>
      <top style="thin">
        <color theme="1" tint="0.34998626667073579"/>
      </top>
      <bottom style="dotted">
        <color rgb="FF03626F"/>
      </bottom>
      <diagonal/>
    </border>
    <border>
      <left style="dotted">
        <color rgb="FF03626F"/>
      </left>
      <right style="dotted">
        <color rgb="FF03626F"/>
      </right>
      <top style="thin">
        <color theme="1" tint="0.34998626667073579"/>
      </top>
      <bottom style="dotted">
        <color rgb="FF03626F"/>
      </bottom>
      <diagonal/>
    </border>
    <border>
      <left style="dotted">
        <color rgb="FF03626F"/>
      </left>
      <right/>
      <top style="thin">
        <color theme="1" tint="0.34998626667073579"/>
      </top>
      <bottom style="hair">
        <color theme="1" tint="0.34998626667073579"/>
      </bottom>
      <diagonal/>
    </border>
    <border>
      <left/>
      <right/>
      <top style="thin">
        <color theme="1" tint="0.34998626667073579"/>
      </top>
      <bottom style="hair">
        <color theme="1" tint="0.34998626667073579"/>
      </bottom>
      <diagonal/>
    </border>
    <border>
      <left/>
      <right style="dotted">
        <color rgb="FF03626F"/>
      </right>
      <top style="thin">
        <color theme="1" tint="0.34998626667073579"/>
      </top>
      <bottom style="hair">
        <color theme="1" tint="0.34998626667073579"/>
      </bottom>
      <diagonal/>
    </border>
    <border>
      <left style="dotted">
        <color rgb="FF03626F"/>
      </left>
      <right style="thin">
        <color theme="1" tint="0.34998626667073579"/>
      </right>
      <top style="thin">
        <color theme="1" tint="0.34998626667073579"/>
      </top>
      <bottom style="dotted">
        <color rgb="FF03626F"/>
      </bottom>
      <diagonal/>
    </border>
    <border>
      <left style="thin">
        <color theme="1" tint="0.34998626667073579"/>
      </left>
      <right style="dotted">
        <color rgb="FF03626F"/>
      </right>
      <top style="dotted">
        <color rgb="FF03626F"/>
      </top>
      <bottom style="dotted">
        <color rgb="FF03626F"/>
      </bottom>
      <diagonal/>
    </border>
    <border>
      <left style="dotted">
        <color rgb="FF03626F"/>
      </left>
      <right style="thin">
        <color theme="1" tint="0.34998626667073579"/>
      </right>
      <top style="dotted">
        <color rgb="FF03626F"/>
      </top>
      <bottom style="dotted">
        <color rgb="FF03626F"/>
      </bottom>
      <diagonal/>
    </border>
    <border>
      <left style="thin">
        <color theme="1" tint="0.34998626667073579"/>
      </left>
      <right style="dotted">
        <color rgb="FF03626F"/>
      </right>
      <top style="dotted">
        <color rgb="FF03626F"/>
      </top>
      <bottom style="thin">
        <color theme="1" tint="0.34998626667073579"/>
      </bottom>
      <diagonal/>
    </border>
    <border>
      <left style="dotted">
        <color rgb="FF03626F"/>
      </left>
      <right style="dotted">
        <color rgb="FF03626F"/>
      </right>
      <top style="dotted">
        <color rgb="FF03626F"/>
      </top>
      <bottom style="thin">
        <color theme="1" tint="0.34998626667073579"/>
      </bottom>
      <diagonal/>
    </border>
    <border>
      <left style="dotted">
        <color rgb="FF03626F"/>
      </left>
      <right/>
      <top style="dotted">
        <color rgb="FF03626F"/>
      </top>
      <bottom style="thin">
        <color theme="1" tint="0.34998626667073579"/>
      </bottom>
      <diagonal/>
    </border>
    <border>
      <left style="hair">
        <color theme="1" tint="0.34998626667073579"/>
      </left>
      <right style="hair">
        <color theme="1" tint="0.34998626667073579"/>
      </right>
      <top style="hair">
        <color theme="1" tint="0.34998626667073579"/>
      </top>
      <bottom style="thin">
        <color theme="1" tint="0.34998626667073579"/>
      </bottom>
      <diagonal/>
    </border>
    <border>
      <left/>
      <right style="dotted">
        <color rgb="FF03626F"/>
      </right>
      <top style="dotted">
        <color rgb="FF03626F"/>
      </top>
      <bottom style="thin">
        <color theme="1" tint="0.34998626667073579"/>
      </bottom>
      <diagonal/>
    </border>
    <border>
      <left style="dotted">
        <color rgb="FF03626F"/>
      </left>
      <right style="thin">
        <color theme="1" tint="0.34998626667073579"/>
      </right>
      <top style="dotted">
        <color rgb="FF03626F"/>
      </top>
      <bottom style="thin">
        <color theme="1" tint="0.34998626667073579"/>
      </bottom>
      <diagonal/>
    </border>
  </borders>
  <cellStyleXfs count="321">
    <xf numFmtId="0" fontId="0" fillId="0" borderId="0"/>
    <xf numFmtId="169" fontId="17" fillId="0" borderId="0" applyFont="0" applyFill="0" applyBorder="0" applyAlignment="0" applyProtection="0"/>
    <xf numFmtId="169" fontId="16" fillId="0" borderId="0" applyFont="0" applyFill="0" applyBorder="0" applyAlignment="0" applyProtection="0"/>
    <xf numFmtId="166" fontId="13" fillId="0" borderId="0" applyFont="0" applyFill="0" applyBorder="0" applyAlignment="0" applyProtection="0"/>
    <xf numFmtId="166" fontId="25" fillId="0" borderId="0" applyFont="0" applyFill="0" applyBorder="0" applyAlignment="0" applyProtection="0"/>
    <xf numFmtId="166" fontId="16" fillId="0" borderId="0" applyFont="0" applyFill="0" applyBorder="0" applyAlignment="0" applyProtection="0"/>
    <xf numFmtId="166" fontId="2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5" fontId="13" fillId="0" borderId="0" applyFont="0" applyFill="0" applyBorder="0" applyAlignment="0" applyProtection="0"/>
    <xf numFmtId="165" fontId="25" fillId="0" borderId="0" applyFont="0" applyFill="0" applyBorder="0" applyAlignment="0" applyProtection="0"/>
    <xf numFmtId="165" fontId="16" fillId="0" borderId="0" applyFont="0" applyFill="0" applyBorder="0" applyAlignment="0" applyProtection="0"/>
    <xf numFmtId="165" fontId="2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7" fillId="0" borderId="0"/>
    <xf numFmtId="0" fontId="16" fillId="0" borderId="0"/>
    <xf numFmtId="0" fontId="16" fillId="0" borderId="0"/>
    <xf numFmtId="0" fontId="30" fillId="0" borderId="0"/>
    <xf numFmtId="9" fontId="1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4"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2"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1" fillId="0" borderId="0"/>
    <xf numFmtId="165" fontId="11" fillId="0" borderId="0" applyFont="0" applyFill="0" applyBorder="0" applyAlignment="0" applyProtection="0"/>
    <xf numFmtId="0" fontId="10"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1" fillId="0" borderId="0"/>
    <xf numFmtId="9" fontId="13"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68" fillId="0" borderId="0" applyNumberFormat="0" applyFill="0" applyBorder="0" applyAlignment="0" applyProtection="0">
      <alignment vertical="top"/>
      <protection locked="0"/>
    </xf>
    <xf numFmtId="0" fontId="13" fillId="0" borderId="0" applyNumberFormat="0" applyFill="0" applyBorder="0" applyAlignment="0" applyProtection="0"/>
    <xf numFmtId="44" fontId="13" fillId="0" borderId="0" applyFont="0" applyFill="0" applyBorder="0" applyAlignment="0" applyProtection="0"/>
    <xf numFmtId="0" fontId="71" fillId="0" borderId="0"/>
    <xf numFmtId="43" fontId="71" fillId="0" borderId="0" applyFont="0" applyFill="0" applyBorder="0" applyAlignment="0" applyProtection="0"/>
    <xf numFmtId="44" fontId="71" fillId="0" borderId="0" applyFont="0" applyFill="0" applyBorder="0" applyAlignment="0" applyProtection="0"/>
    <xf numFmtId="9" fontId="71" fillId="0" borderId="0" applyFont="0" applyFill="0" applyBorder="0" applyAlignment="0" applyProtection="0"/>
    <xf numFmtId="0" fontId="72" fillId="0" borderId="0"/>
    <xf numFmtId="0" fontId="9" fillId="0" borderId="0"/>
    <xf numFmtId="9" fontId="9" fillId="0" borderId="0" applyFont="0" applyFill="0" applyBorder="0" applyAlignment="0" applyProtection="0"/>
    <xf numFmtId="44" fontId="9" fillId="0" borderId="0" applyFont="0" applyFill="0" applyBorder="0" applyAlignment="0" applyProtection="0"/>
    <xf numFmtId="165" fontId="8"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9" fontId="4" fillId="0" borderId="0" applyFont="0" applyFill="0" applyBorder="0" applyAlignment="0" applyProtection="0"/>
    <xf numFmtId="0" fontId="89" fillId="0" borderId="0" applyNumberForma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71"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0" fontId="3" fillId="0" borderId="0"/>
    <xf numFmtId="43" fontId="3" fillId="0" borderId="0" applyFont="0" applyFill="0" applyBorder="0" applyAlignment="0" applyProtection="0"/>
    <xf numFmtId="9" fontId="83" fillId="0" borderId="0" applyFont="0" applyFill="0" applyBorder="0" applyAlignment="0" applyProtection="0"/>
    <xf numFmtId="166" fontId="83" fillId="0" borderId="0" applyFont="0" applyFill="0" applyBorder="0" applyAlignment="0" applyProtection="0"/>
    <xf numFmtId="165" fontId="83" fillId="0" borderId="0" applyFont="0" applyFill="0" applyBorder="0" applyAlignment="0" applyProtection="0"/>
    <xf numFmtId="173" fontId="83" fillId="0" borderId="0" applyFont="0" applyFill="0" applyBorder="0" applyAlignment="0" applyProtection="0"/>
    <xf numFmtId="0" fontId="13" fillId="0" borderId="0"/>
    <xf numFmtId="0" fontId="83" fillId="0" borderId="0"/>
    <xf numFmtId="0" fontId="81" fillId="0" borderId="0"/>
    <xf numFmtId="0" fontId="13" fillId="0" borderId="0" applyNumberFormat="0" applyFill="0" applyBorder="0" applyProtection="0">
      <alignment horizontal="left"/>
    </xf>
    <xf numFmtId="43" fontId="3" fillId="0" borderId="0" applyFont="0" applyFill="0" applyBorder="0" applyAlignment="0" applyProtection="0"/>
    <xf numFmtId="43" fontId="13" fillId="0" borderId="0" applyFont="0" applyFill="0" applyBorder="0" applyAlignment="0" applyProtection="0"/>
    <xf numFmtId="167" fontId="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75" fontId="13" fillId="0" borderId="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3" fontId="83" fillId="0" borderId="0" applyFont="0" applyFill="0" applyBorder="0" applyAlignment="0" applyProtection="0"/>
    <xf numFmtId="165" fontId="83" fillId="0" borderId="0" applyFont="0" applyFill="0" applyBorder="0" applyAlignment="0" applyProtection="0"/>
    <xf numFmtId="165" fontId="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 fillId="0" borderId="0"/>
    <xf numFmtId="0" fontId="13" fillId="0" borderId="0" applyNumberFormat="0" applyFill="0" applyBorder="0" applyAlignment="0" applyProtection="0"/>
    <xf numFmtId="9" fontId="13" fillId="0" borderId="0" applyFill="0" applyBorder="0" applyAlignment="0" applyProtection="0"/>
    <xf numFmtId="9" fontId="83" fillId="0" borderId="0" applyFont="0" applyFill="0" applyBorder="0" applyAlignment="0" applyProtection="0"/>
    <xf numFmtId="165" fontId="13" fillId="0" borderId="0" applyFont="0" applyFill="0" applyBorder="0" applyAlignment="0" applyProtection="0"/>
    <xf numFmtId="9" fontId="3" fillId="0" borderId="0" applyFont="0" applyFill="0" applyBorder="0" applyAlignment="0" applyProtection="0"/>
    <xf numFmtId="0" fontId="13" fillId="0" borderId="0"/>
    <xf numFmtId="44" fontId="3" fillId="0" borderId="0" applyFont="0" applyFill="0" applyBorder="0" applyAlignment="0" applyProtection="0"/>
    <xf numFmtId="0" fontId="13" fillId="0" borderId="0"/>
    <xf numFmtId="166" fontId="13" fillId="0" borderId="0" applyFont="0" applyFill="0" applyBorder="0" applyAlignment="0" applyProtection="0"/>
    <xf numFmtId="0" fontId="82" fillId="0" borderId="7" applyNumberFormat="0" applyAlignment="0" applyProtection="0">
      <alignment horizontal="left" vertical="center"/>
    </xf>
    <xf numFmtId="0" fontId="82" fillId="0" borderId="6">
      <alignment horizontal="left" vertical="center"/>
    </xf>
    <xf numFmtId="0" fontId="13" fillId="0" borderId="0"/>
    <xf numFmtId="0" fontId="3" fillId="0" borderId="0"/>
    <xf numFmtId="166"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88" fillId="0" borderId="0" applyNumberFormat="0" applyFill="0" applyBorder="0" applyAlignment="0" applyProtection="0"/>
    <xf numFmtId="0" fontId="109" fillId="19" borderId="35" applyNumberFormat="0" applyAlignment="0" applyProtection="0"/>
    <xf numFmtId="0" fontId="1" fillId="0" borderId="0"/>
  </cellStyleXfs>
  <cellXfs count="740">
    <xf numFmtId="0" fontId="0" fillId="0" borderId="0" xfId="0"/>
    <xf numFmtId="0" fontId="14" fillId="0" borderId="1" xfId="0" applyFont="1" applyBorder="1" applyProtection="1"/>
    <xf numFmtId="0" fontId="14" fillId="0" borderId="0" xfId="0" applyFont="1" applyProtection="1"/>
    <xf numFmtId="0" fontId="44" fillId="3" borderId="0" xfId="0" applyFont="1" applyFill="1" applyBorder="1" applyAlignment="1" applyProtection="1"/>
    <xf numFmtId="0" fontId="14" fillId="0" borderId="0" xfId="0" applyFont="1" applyBorder="1" applyProtection="1"/>
    <xf numFmtId="0" fontId="14" fillId="3" borderId="0" xfId="0" applyFont="1" applyFill="1" applyBorder="1" applyProtection="1"/>
    <xf numFmtId="0" fontId="66" fillId="0" borderId="0" xfId="0" applyFont="1" applyFill="1" applyBorder="1" applyAlignment="1" applyProtection="1">
      <alignment horizontal="center"/>
    </xf>
    <xf numFmtId="0" fontId="33" fillId="3" borderId="0" xfId="0" applyFont="1" applyFill="1" applyBorder="1" applyAlignment="1" applyProtection="1"/>
    <xf numFmtId="0" fontId="0" fillId="0" borderId="0" xfId="0" applyFill="1" applyBorder="1" applyProtection="1"/>
    <xf numFmtId="0" fontId="0" fillId="0" borderId="0" xfId="0" applyFill="1" applyProtection="1"/>
    <xf numFmtId="0" fontId="13" fillId="0" borderId="0" xfId="0" applyFont="1" applyFill="1" applyProtection="1"/>
    <xf numFmtId="166" fontId="13" fillId="0" borderId="0" xfId="0" applyNumberFormat="1" applyFont="1" applyFill="1" applyProtection="1"/>
    <xf numFmtId="0" fontId="65" fillId="0" borderId="0" xfId="0" applyFont="1" applyFill="1" applyBorder="1" applyAlignment="1" applyProtection="1"/>
    <xf numFmtId="0" fontId="31" fillId="0" borderId="0" xfId="0" applyFont="1" applyFill="1" applyBorder="1" applyAlignment="1" applyProtection="1">
      <alignment horizontal="left" vertical="center" wrapText="1" indent="1"/>
    </xf>
    <xf numFmtId="0" fontId="19" fillId="3" borderId="0" xfId="0" applyFont="1" applyFill="1" applyBorder="1" applyAlignment="1" applyProtection="1"/>
    <xf numFmtId="0" fontId="19" fillId="3" borderId="0" xfId="0" applyFont="1" applyFill="1" applyAlignment="1" applyProtection="1"/>
    <xf numFmtId="1" fontId="40" fillId="3" borderId="0" xfId="0" applyNumberFormat="1" applyFont="1" applyFill="1" applyBorder="1" applyAlignment="1" applyProtection="1">
      <alignment horizontal="left" vertical="center" wrapText="1" indent="1"/>
    </xf>
    <xf numFmtId="0" fontId="40" fillId="3" borderId="0" xfId="0" applyFont="1" applyFill="1" applyBorder="1" applyAlignment="1" applyProtection="1">
      <alignment horizontal="left" vertical="center" wrapText="1" indent="1"/>
    </xf>
    <xf numFmtId="0" fontId="0" fillId="3" borderId="0" xfId="0" applyFill="1" applyBorder="1" applyProtection="1"/>
    <xf numFmtId="166" fontId="29" fillId="3" borderId="0" xfId="3" applyFont="1" applyFill="1" applyBorder="1" applyProtection="1"/>
    <xf numFmtId="166" fontId="13" fillId="3" borderId="0" xfId="3" applyFont="1" applyFill="1" applyBorder="1" applyProtection="1"/>
    <xf numFmtId="0" fontId="13" fillId="3" borderId="0" xfId="0" applyFont="1" applyFill="1" applyBorder="1" applyProtection="1"/>
    <xf numFmtId="9" fontId="13" fillId="3" borderId="0" xfId="24" applyFont="1" applyFill="1" applyBorder="1" applyProtection="1"/>
    <xf numFmtId="4" fontId="51" fillId="0" borderId="0" xfId="3" applyNumberFormat="1" applyFont="1" applyFill="1" applyBorder="1" applyAlignment="1" applyProtection="1">
      <alignment horizontal="left"/>
    </xf>
    <xf numFmtId="0" fontId="13" fillId="0" borderId="0" xfId="0" applyFont="1" applyFill="1" applyBorder="1" applyProtection="1"/>
    <xf numFmtId="10" fontId="0" fillId="0" borderId="0" xfId="0" applyNumberFormat="1" applyFill="1" applyBorder="1" applyProtection="1"/>
    <xf numFmtId="10" fontId="13" fillId="0" borderId="0" xfId="0" applyNumberFormat="1" applyFont="1" applyFill="1" applyBorder="1" applyAlignment="1" applyProtection="1">
      <alignment horizontal="center"/>
    </xf>
    <xf numFmtId="166" fontId="33" fillId="3" borderId="0" xfId="3" applyFont="1" applyFill="1" applyBorder="1" applyProtection="1"/>
    <xf numFmtId="166" fontId="0" fillId="0" borderId="0" xfId="3" applyFont="1" applyFill="1" applyBorder="1" applyProtection="1"/>
    <xf numFmtId="166" fontId="0" fillId="0" borderId="0" xfId="3" applyFont="1" applyFill="1" applyProtection="1"/>
    <xf numFmtId="0" fontId="43" fillId="2" borderId="2" xfId="0" applyFont="1" applyFill="1" applyBorder="1" applyAlignment="1" applyProtection="1">
      <alignment horizontal="left" vertical="center" wrapText="1"/>
      <protection locked="0"/>
    </xf>
    <xf numFmtId="172" fontId="14" fillId="0" borderId="0" xfId="9" applyNumberFormat="1" applyFont="1" applyBorder="1" applyProtection="1"/>
    <xf numFmtId="0" fontId="42" fillId="4" borderId="3" xfId="0" applyFont="1" applyFill="1" applyBorder="1" applyAlignment="1" applyProtection="1">
      <alignment horizontal="center" vertical="center" wrapText="1"/>
    </xf>
    <xf numFmtId="0" fontId="43" fillId="2" borderId="2" xfId="0" applyFont="1" applyFill="1" applyBorder="1" applyAlignment="1" applyProtection="1">
      <alignment horizontal="center" vertical="center" wrapText="1"/>
      <protection locked="0"/>
    </xf>
    <xf numFmtId="0" fontId="43" fillId="2" borderId="2" xfId="0" applyFont="1" applyFill="1" applyBorder="1" applyAlignment="1" applyProtection="1">
      <alignment horizontal="center" vertical="center" wrapText="1"/>
    </xf>
    <xf numFmtId="0" fontId="0" fillId="7" borderId="0" xfId="0" applyFill="1" applyBorder="1" applyAlignment="1" applyProtection="1">
      <alignment horizontal="left"/>
    </xf>
    <xf numFmtId="0" fontId="75" fillId="15" borderId="0" xfId="0" applyFont="1" applyFill="1" applyBorder="1" applyAlignment="1" applyProtection="1">
      <alignment horizontal="center" vertical="center" wrapText="1"/>
    </xf>
    <xf numFmtId="0" fontId="0" fillId="15" borderId="0" xfId="0" applyFill="1" applyBorder="1" applyProtection="1"/>
    <xf numFmtId="0" fontId="31" fillId="13" borderId="0" xfId="0" applyFont="1" applyFill="1" applyBorder="1" applyAlignment="1" applyProtection="1">
      <alignment horizontal="center"/>
    </xf>
    <xf numFmtId="0" fontId="33" fillId="13" borderId="0" xfId="0" applyFont="1" applyFill="1" applyBorder="1" applyAlignment="1" applyProtection="1">
      <alignment horizontal="center"/>
    </xf>
    <xf numFmtId="166" fontId="29" fillId="15" borderId="0" xfId="3" applyFont="1" applyFill="1" applyBorder="1" applyProtection="1"/>
    <xf numFmtId="166" fontId="77" fillId="15" borderId="0" xfId="3" applyFont="1" applyFill="1" applyBorder="1" applyProtection="1"/>
    <xf numFmtId="166" fontId="50" fillId="15" borderId="0" xfId="3" applyFont="1" applyFill="1" applyBorder="1" applyAlignment="1" applyProtection="1">
      <alignment horizontal="right"/>
    </xf>
    <xf numFmtId="166" fontId="33" fillId="15" borderId="0" xfId="0" applyNumberFormat="1" applyFont="1" applyFill="1" applyBorder="1" applyProtection="1"/>
    <xf numFmtId="166" fontId="29" fillId="15" borderId="0" xfId="3" applyFont="1" applyFill="1" applyBorder="1" applyAlignment="1" applyProtection="1">
      <alignment vertical="center"/>
    </xf>
    <xf numFmtId="166" fontId="77" fillId="15" borderId="0" xfId="3" applyFont="1" applyFill="1" applyBorder="1" applyAlignment="1" applyProtection="1"/>
    <xf numFmtId="166" fontId="29" fillId="15" borderId="0" xfId="3" applyFont="1" applyFill="1" applyBorder="1" applyAlignment="1" applyProtection="1"/>
    <xf numFmtId="0" fontId="76" fillId="15" borderId="0" xfId="0" applyFont="1" applyFill="1" applyBorder="1" applyAlignment="1" applyProtection="1"/>
    <xf numFmtId="166" fontId="13" fillId="15" borderId="0" xfId="3" applyFont="1" applyFill="1" applyBorder="1" applyProtection="1"/>
    <xf numFmtId="0" fontId="13" fillId="15" borderId="0" xfId="0" applyFont="1" applyFill="1" applyBorder="1" applyProtection="1"/>
    <xf numFmtId="9" fontId="13" fillId="15" borderId="0" xfId="24" applyFont="1" applyFill="1" applyBorder="1" applyProtection="1"/>
    <xf numFmtId="166" fontId="41" fillId="15" borderId="0" xfId="3" applyFont="1" applyFill="1" applyBorder="1" applyProtection="1"/>
    <xf numFmtId="166" fontId="77" fillId="15" borderId="0" xfId="3" applyFont="1" applyFill="1" applyBorder="1" applyAlignment="1" applyProtection="1"/>
    <xf numFmtId="0" fontId="76" fillId="15" borderId="0" xfId="0" applyFont="1" applyFill="1" applyBorder="1" applyAlignment="1" applyProtection="1"/>
    <xf numFmtId="0" fontId="18" fillId="15" borderId="0" xfId="0" applyFont="1" applyFill="1" applyBorder="1" applyAlignment="1" applyProtection="1">
      <alignment horizontal="center"/>
    </xf>
    <xf numFmtId="166" fontId="0" fillId="15" borderId="0" xfId="0" applyNumberFormat="1" applyFill="1" applyBorder="1" applyProtection="1"/>
    <xf numFmtId="0" fontId="49" fillId="15" borderId="0" xfId="0" applyFont="1" applyFill="1" applyBorder="1" applyAlignment="1" applyProtection="1">
      <alignment horizontal="center"/>
    </xf>
    <xf numFmtId="164" fontId="0" fillId="15" borderId="0" xfId="0" applyNumberFormat="1" applyFill="1" applyBorder="1" applyProtection="1"/>
    <xf numFmtId="166" fontId="33" fillId="15" borderId="0" xfId="3" applyFont="1" applyFill="1" applyBorder="1" applyProtection="1"/>
    <xf numFmtId="0" fontId="33" fillId="15" borderId="0" xfId="0" applyFont="1" applyFill="1" applyBorder="1" applyAlignment="1" applyProtection="1"/>
    <xf numFmtId="0" fontId="33" fillId="15" borderId="0" xfId="0" applyFont="1" applyFill="1" applyBorder="1" applyProtection="1"/>
    <xf numFmtId="0" fontId="48" fillId="15" borderId="0" xfId="0" applyFont="1" applyFill="1" applyBorder="1" applyAlignment="1" applyProtection="1">
      <alignment horizontal="center"/>
    </xf>
    <xf numFmtId="0" fontId="76" fillId="15" borderId="0" xfId="0" applyFont="1" applyFill="1" applyBorder="1" applyAlignment="1" applyProtection="1">
      <alignment horizontal="left"/>
    </xf>
    <xf numFmtId="0" fontId="0" fillId="16" borderId="0" xfId="0" applyFill="1" applyProtection="1"/>
    <xf numFmtId="0" fontId="0" fillId="16" borderId="0" xfId="0" applyFill="1" applyBorder="1" applyProtection="1"/>
    <xf numFmtId="166" fontId="0" fillId="16" borderId="0" xfId="3" applyFont="1" applyFill="1" applyProtection="1"/>
    <xf numFmtId="0" fontId="13" fillId="16" borderId="0" xfId="0" applyFont="1" applyFill="1" applyProtection="1"/>
    <xf numFmtId="0" fontId="71" fillId="16" borderId="0" xfId="83" applyFill="1" applyBorder="1" applyProtection="1"/>
    <xf numFmtId="166" fontId="0" fillId="16" borderId="0" xfId="3" applyFont="1" applyFill="1" applyBorder="1" applyProtection="1"/>
    <xf numFmtId="0" fontId="13" fillId="16" borderId="0" xfId="0" applyFont="1" applyFill="1" applyBorder="1" applyProtection="1"/>
    <xf numFmtId="0" fontId="39" fillId="16" borderId="0" xfId="0" applyFont="1" applyFill="1" applyBorder="1" applyProtection="1"/>
    <xf numFmtId="0" fontId="47" fillId="16" borderId="0" xfId="0" applyFont="1" applyFill="1" applyBorder="1" applyAlignment="1" applyProtection="1">
      <alignment horizontal="center"/>
    </xf>
    <xf numFmtId="0" fontId="67" fillId="16" borderId="0" xfId="0" applyFont="1" applyFill="1" applyBorder="1" applyAlignment="1" applyProtection="1"/>
    <xf numFmtId="0" fontId="40" fillId="16" borderId="0" xfId="0" applyFont="1" applyFill="1" applyBorder="1" applyAlignment="1" applyProtection="1">
      <alignment horizontal="left" vertical="center" wrapText="1" indent="1"/>
    </xf>
    <xf numFmtId="0" fontId="31" fillId="16" borderId="0" xfId="0" applyFont="1" applyFill="1" applyBorder="1" applyAlignment="1" applyProtection="1">
      <alignment horizontal="left" vertical="center" wrapText="1"/>
    </xf>
    <xf numFmtId="0" fontId="31" fillId="16" borderId="0" xfId="0" applyFont="1" applyFill="1" applyBorder="1" applyAlignment="1" applyProtection="1">
      <alignment horizontal="left" vertical="center" wrapText="1" indent="1"/>
    </xf>
    <xf numFmtId="0" fontId="75" fillId="16" borderId="0" xfId="0" applyFont="1" applyFill="1" applyBorder="1" applyAlignment="1" applyProtection="1">
      <alignment horizontal="left" vertical="center" wrapText="1" indent="1"/>
    </xf>
    <xf numFmtId="0" fontId="75" fillId="16" borderId="0" xfId="0" applyFont="1" applyFill="1" applyBorder="1" applyAlignment="1" applyProtection="1">
      <alignment horizontal="center" vertical="center" wrapText="1"/>
    </xf>
    <xf numFmtId="0" fontId="41" fillId="16" borderId="0" xfId="0" applyFont="1" applyFill="1" applyBorder="1" applyAlignment="1" applyProtection="1">
      <alignment horizontal="left" vertical="center" wrapText="1"/>
    </xf>
    <xf numFmtId="0" fontId="40" fillId="16" borderId="0" xfId="0" applyFont="1" applyFill="1" applyBorder="1" applyAlignment="1" applyProtection="1">
      <alignment horizontal="left" vertical="center" wrapText="1"/>
    </xf>
    <xf numFmtId="0" fontId="58" fillId="16" borderId="0" xfId="0" applyFont="1" applyFill="1" applyBorder="1" applyAlignment="1" applyProtection="1">
      <alignment horizontal="right" vertical="center" wrapText="1"/>
    </xf>
    <xf numFmtId="0" fontId="18" fillId="16" borderId="0" xfId="0" applyFont="1" applyFill="1" applyBorder="1" applyAlignment="1" applyProtection="1">
      <alignment horizontal="left" vertical="center" wrapText="1"/>
    </xf>
    <xf numFmtId="0" fontId="18" fillId="16" borderId="0" xfId="0" applyFont="1" applyFill="1" applyBorder="1" applyAlignment="1" applyProtection="1">
      <alignment horizontal="left" vertical="center" wrapText="1" indent="1"/>
    </xf>
    <xf numFmtId="0" fontId="66" fillId="5" borderId="0" xfId="0" applyFont="1" applyFill="1" applyBorder="1" applyAlignment="1" applyProtection="1">
      <alignment horizontal="center"/>
    </xf>
    <xf numFmtId="0" fontId="0" fillId="5" borderId="0" xfId="0" applyFill="1" applyBorder="1" applyProtection="1"/>
    <xf numFmtId="166" fontId="0" fillId="5" borderId="0" xfId="3" applyFont="1" applyFill="1" applyProtection="1"/>
    <xf numFmtId="0" fontId="0" fillId="5" borderId="0" xfId="0" applyFill="1" applyProtection="1"/>
    <xf numFmtId="0" fontId="0" fillId="15" borderId="0" xfId="0" applyFill="1" applyProtection="1"/>
    <xf numFmtId="0" fontId="33" fillId="3" borderId="0" xfId="0" applyFont="1" applyFill="1" applyBorder="1" applyProtection="1"/>
    <xf numFmtId="0" fontId="33" fillId="0" borderId="0" xfId="0" applyFont="1" applyFill="1" applyBorder="1" applyProtection="1"/>
    <xf numFmtId="4" fontId="51" fillId="15" borderId="0" xfId="3" applyNumberFormat="1" applyFont="1" applyFill="1" applyBorder="1" applyAlignment="1" applyProtection="1">
      <alignment horizontal="left"/>
    </xf>
    <xf numFmtId="0" fontId="80" fillId="0" borderId="0" xfId="0" applyFont="1" applyFill="1" applyBorder="1" applyAlignment="1" applyProtection="1"/>
    <xf numFmtId="0" fontId="42" fillId="0" borderId="0" xfId="0" applyFont="1" applyFill="1" applyBorder="1" applyAlignment="1" applyProtection="1">
      <alignment horizontal="left" vertical="center"/>
    </xf>
    <xf numFmtId="4" fontId="58" fillId="15" borderId="0" xfId="3" applyNumberFormat="1" applyFont="1" applyFill="1" applyBorder="1" applyAlignment="1" applyProtection="1">
      <alignment horizontal="left"/>
    </xf>
    <xf numFmtId="0" fontId="71" fillId="5" borderId="0" xfId="83" applyFill="1" applyBorder="1" applyProtection="1"/>
    <xf numFmtId="0" fontId="40" fillId="5" borderId="0" xfId="0" applyFont="1" applyFill="1" applyBorder="1" applyAlignment="1" applyProtection="1">
      <alignment horizontal="left" vertical="center" wrapText="1" indent="1"/>
    </xf>
    <xf numFmtId="1" fontId="61" fillId="5" borderId="0" xfId="0" applyNumberFormat="1" applyFont="1" applyFill="1" applyBorder="1" applyAlignment="1" applyProtection="1">
      <alignment horizontal="left"/>
    </xf>
    <xf numFmtId="1" fontId="63" fillId="5" borderId="0" xfId="0" applyNumberFormat="1" applyFont="1" applyFill="1" applyBorder="1" applyAlignment="1" applyProtection="1">
      <alignment horizontal="left" vertical="center" wrapText="1"/>
    </xf>
    <xf numFmtId="0" fontId="56" fillId="5" borderId="0" xfId="0" applyFont="1" applyFill="1" applyBorder="1" applyAlignment="1" applyProtection="1">
      <alignment horizontal="left" vertical="center" wrapText="1" indent="1"/>
    </xf>
    <xf numFmtId="0" fontId="32" fillId="5" borderId="0" xfId="0" applyFont="1" applyFill="1" applyBorder="1" applyProtection="1"/>
    <xf numFmtId="0" fontId="78" fillId="15" borderId="0" xfId="0" applyFont="1" applyFill="1" applyBorder="1" applyAlignment="1" applyProtection="1">
      <alignment horizontal="center"/>
    </xf>
    <xf numFmtId="0" fontId="95" fillId="15" borderId="0" xfId="0" applyFont="1" applyFill="1" applyBorder="1" applyAlignment="1" applyProtection="1">
      <alignment horizontal="right"/>
    </xf>
    <xf numFmtId="166" fontId="96" fillId="15" borderId="0" xfId="3" applyFont="1" applyFill="1" applyBorder="1" applyAlignment="1" applyProtection="1">
      <alignment horizontal="right" wrapText="1"/>
    </xf>
    <xf numFmtId="0" fontId="96" fillId="15" borderId="0" xfId="0" applyFont="1" applyFill="1" applyBorder="1" applyAlignment="1" applyProtection="1">
      <alignment horizontal="right"/>
    </xf>
    <xf numFmtId="166" fontId="96" fillId="15" borderId="0" xfId="3" applyFont="1" applyFill="1" applyBorder="1" applyAlignment="1" applyProtection="1">
      <alignment horizontal="right"/>
    </xf>
    <xf numFmtId="166" fontId="97" fillId="15" borderId="0" xfId="3" applyFont="1" applyFill="1" applyBorder="1" applyProtection="1"/>
    <xf numFmtId="166" fontId="98" fillId="15" borderId="0" xfId="3" applyFont="1" applyFill="1" applyBorder="1" applyProtection="1"/>
    <xf numFmtId="0" fontId="100" fillId="13" borderId="0" xfId="0" applyFont="1" applyFill="1" applyBorder="1" applyAlignment="1" applyProtection="1">
      <alignment horizontal="center" vertical="center"/>
    </xf>
    <xf numFmtId="0" fontId="66" fillId="7" borderId="0" xfId="0" applyFont="1" applyFill="1" applyBorder="1" applyAlignment="1" applyProtection="1">
      <alignment horizontal="center"/>
    </xf>
    <xf numFmtId="0" fontId="48" fillId="15" borderId="0" xfId="0" applyFont="1" applyFill="1" applyBorder="1" applyAlignment="1" applyProtection="1">
      <alignment horizontal="center" vertical="center"/>
    </xf>
    <xf numFmtId="0" fontId="49" fillId="15" borderId="0" xfId="0" applyFont="1" applyFill="1" applyBorder="1" applyAlignment="1" applyProtection="1">
      <alignment horizontal="center" vertical="center"/>
    </xf>
    <xf numFmtId="0" fontId="76" fillId="15" borderId="0" xfId="0" applyFont="1" applyFill="1" applyBorder="1" applyAlignment="1" applyProtection="1">
      <alignment horizontal="left" vertical="center"/>
    </xf>
    <xf numFmtId="0" fontId="105" fillId="3" borderId="0" xfId="0" applyFont="1" applyFill="1" applyBorder="1" applyProtection="1"/>
    <xf numFmtId="166" fontId="77" fillId="15" borderId="0" xfId="3" applyFont="1" applyFill="1" applyBorder="1" applyAlignment="1" applyProtection="1">
      <alignment vertical="center"/>
    </xf>
    <xf numFmtId="0" fontId="18" fillId="15" borderId="0" xfId="0" applyFont="1" applyFill="1" applyBorder="1" applyAlignment="1" applyProtection="1">
      <alignment horizontal="center" vertical="center"/>
    </xf>
    <xf numFmtId="0" fontId="48" fillId="15" borderId="0" xfId="0" applyFont="1" applyFill="1" applyBorder="1" applyAlignment="1" applyProtection="1">
      <alignment horizontal="center" vertical="center"/>
      <protection hidden="1"/>
    </xf>
    <xf numFmtId="0" fontId="73" fillId="15" borderId="0" xfId="0" applyFont="1" applyFill="1" applyBorder="1" applyAlignment="1" applyProtection="1">
      <alignment horizontal="center" vertical="center"/>
      <protection hidden="1"/>
    </xf>
    <xf numFmtId="0" fontId="76" fillId="15" borderId="0" xfId="0" applyFont="1" applyFill="1" applyBorder="1" applyAlignment="1" applyProtection="1">
      <alignment vertical="center"/>
    </xf>
    <xf numFmtId="10" fontId="33" fillId="15" borderId="0" xfId="24" applyNumberFormat="1" applyFont="1" applyFill="1" applyBorder="1" applyAlignment="1" applyProtection="1">
      <alignment vertical="center"/>
      <protection hidden="1"/>
    </xf>
    <xf numFmtId="10" fontId="64" fillId="15" borderId="0" xfId="24" applyNumberFormat="1" applyFont="1" applyFill="1" applyBorder="1" applyAlignment="1" applyProtection="1">
      <alignment vertical="center"/>
    </xf>
    <xf numFmtId="10" fontId="64" fillId="15" borderId="0" xfId="24" applyNumberFormat="1" applyFont="1" applyFill="1" applyBorder="1" applyAlignment="1" applyProtection="1">
      <alignment vertical="center"/>
      <protection hidden="1"/>
    </xf>
    <xf numFmtId="166" fontId="78" fillId="15" borderId="0" xfId="3" applyFont="1" applyFill="1" applyBorder="1" applyAlignment="1" applyProtection="1">
      <alignment vertical="center"/>
    </xf>
    <xf numFmtId="164" fontId="65" fillId="15" borderId="0" xfId="0" applyNumberFormat="1" applyFont="1" applyFill="1" applyBorder="1" applyAlignment="1" applyProtection="1">
      <alignment horizontal="right" vertical="center"/>
      <protection hidden="1"/>
    </xf>
    <xf numFmtId="0" fontId="65" fillId="15" borderId="0" xfId="0" applyFont="1" applyFill="1" applyBorder="1" applyAlignment="1" applyProtection="1">
      <alignment horizontal="right" vertical="center"/>
      <protection hidden="1"/>
    </xf>
    <xf numFmtId="164" fontId="27" fillId="15" borderId="0" xfId="0" applyNumberFormat="1" applyFont="1" applyFill="1" applyBorder="1" applyAlignment="1" applyProtection="1">
      <alignment horizontal="right" vertical="center"/>
      <protection hidden="1"/>
    </xf>
    <xf numFmtId="0" fontId="27" fillId="15" borderId="0" xfId="0" applyFont="1" applyFill="1" applyBorder="1" applyAlignment="1" applyProtection="1">
      <alignment horizontal="right" vertical="center"/>
      <protection hidden="1"/>
    </xf>
    <xf numFmtId="166" fontId="77" fillId="9" borderId="0" xfId="3" applyFont="1" applyFill="1" applyBorder="1" applyAlignment="1" applyProtection="1">
      <alignment vertical="center"/>
    </xf>
    <xf numFmtId="166" fontId="103" fillId="15" borderId="0" xfId="3" applyFont="1" applyFill="1" applyBorder="1" applyAlignment="1" applyProtection="1">
      <alignment vertical="center"/>
    </xf>
    <xf numFmtId="166" fontId="13" fillId="15" borderId="0" xfId="3" applyNumberFormat="1" applyFont="1" applyFill="1" applyBorder="1" applyAlignment="1" applyProtection="1">
      <alignment horizontal="right" vertical="center"/>
    </xf>
    <xf numFmtId="0" fontId="104" fillId="15" borderId="0" xfId="0" applyFont="1" applyFill="1" applyBorder="1" applyAlignment="1" applyProtection="1">
      <alignment horizontal="center" vertical="center"/>
    </xf>
    <xf numFmtId="1" fontId="49" fillId="15" borderId="0" xfId="0" applyNumberFormat="1" applyFont="1" applyFill="1" applyBorder="1" applyAlignment="1" applyProtection="1">
      <alignment horizontal="center" vertical="center"/>
    </xf>
    <xf numFmtId="0" fontId="91" fillId="13" borderId="0" xfId="0" applyFont="1" applyFill="1" applyBorder="1" applyAlignment="1" applyProtection="1">
      <alignment horizontal="center"/>
      <protection locked="0"/>
    </xf>
    <xf numFmtId="0" fontId="0" fillId="3" borderId="0" xfId="0" applyFill="1" applyProtection="1"/>
    <xf numFmtId="4" fontId="51" fillId="3" borderId="0" xfId="3" applyNumberFormat="1" applyFont="1" applyFill="1" applyBorder="1" applyAlignment="1" applyProtection="1">
      <alignment horizontal="left"/>
    </xf>
    <xf numFmtId="1" fontId="27" fillId="3" borderId="0" xfId="3" applyNumberFormat="1" applyFont="1" applyFill="1" applyBorder="1" applyAlignment="1" applyProtection="1">
      <alignment horizontal="center"/>
    </xf>
    <xf numFmtId="0" fontId="110" fillId="0" borderId="0" xfId="0" applyFont="1"/>
    <xf numFmtId="166" fontId="111" fillId="3" borderId="0" xfId="0" applyNumberFormat="1" applyFont="1" applyFill="1" applyBorder="1"/>
    <xf numFmtId="0" fontId="110" fillId="3" borderId="0" xfId="0" applyFont="1" applyFill="1" applyBorder="1"/>
    <xf numFmtId="0" fontId="93" fillId="0" borderId="0" xfId="0" applyFont="1"/>
    <xf numFmtId="0" fontId="113" fillId="0" borderId="0" xfId="0" applyFont="1"/>
    <xf numFmtId="0" fontId="110" fillId="3" borderId="0" xfId="0" applyFont="1" applyFill="1"/>
    <xf numFmtId="0" fontId="113" fillId="3" borderId="0" xfId="0" applyFont="1" applyFill="1"/>
    <xf numFmtId="0" fontId="93" fillId="3" borderId="0" xfId="0" applyFont="1" applyFill="1"/>
    <xf numFmtId="0" fontId="93" fillId="0" borderId="0" xfId="0" applyFont="1" applyBorder="1"/>
    <xf numFmtId="0" fontId="93" fillId="0" borderId="0" xfId="0" applyFont="1" applyBorder="1" applyAlignment="1">
      <alignment horizontal="right"/>
    </xf>
    <xf numFmtId="0" fontId="13" fillId="3" borderId="0" xfId="0" applyFont="1" applyFill="1"/>
    <xf numFmtId="0" fontId="13" fillId="0" borderId="0" xfId="0" applyFont="1"/>
    <xf numFmtId="0" fontId="114" fillId="3" borderId="0" xfId="0" applyFont="1" applyFill="1" applyBorder="1" applyAlignment="1">
      <alignment horizontal="left" vertical="center" wrapText="1" indent="1"/>
    </xf>
    <xf numFmtId="166" fontId="110" fillId="3" borderId="0" xfId="3" applyFont="1" applyFill="1" applyBorder="1"/>
    <xf numFmtId="168" fontId="112" fillId="3" borderId="0" xfId="24" applyNumberFormat="1" applyFont="1" applyFill="1" applyBorder="1"/>
    <xf numFmtId="0" fontId="113" fillId="3" borderId="0" xfId="0" applyFont="1" applyFill="1" applyBorder="1"/>
    <xf numFmtId="0" fontId="110" fillId="0" borderId="0" xfId="0" applyFont="1" applyBorder="1"/>
    <xf numFmtId="0" fontId="93" fillId="3" borderId="0" xfId="0" applyFont="1" applyFill="1" applyBorder="1"/>
    <xf numFmtId="166" fontId="111" fillId="3" borderId="0" xfId="3" applyFont="1" applyFill="1" applyBorder="1"/>
    <xf numFmtId="10" fontId="110" fillId="3" borderId="0" xfId="24" applyNumberFormat="1" applyFont="1" applyFill="1" applyBorder="1"/>
    <xf numFmtId="0" fontId="93" fillId="21" borderId="38" xfId="0" applyFont="1" applyFill="1" applyBorder="1"/>
    <xf numFmtId="10" fontId="64" fillId="3" borderId="29" xfId="24" applyNumberFormat="1" applyFont="1" applyFill="1" applyBorder="1" applyAlignment="1">
      <alignment horizontal="center"/>
    </xf>
    <xf numFmtId="170" fontId="111" fillId="3" borderId="0" xfId="3" applyNumberFormat="1" applyFont="1" applyFill="1" applyBorder="1"/>
    <xf numFmtId="3" fontId="64" fillId="3" borderId="29" xfId="3" applyNumberFormat="1" applyFont="1" applyFill="1" applyBorder="1" applyAlignment="1">
      <alignment horizontal="center"/>
    </xf>
    <xf numFmtId="166" fontId="64" fillId="3" borderId="41" xfId="3" applyFont="1" applyFill="1" applyBorder="1" applyAlignment="1" applyProtection="1">
      <alignment horizontal="center"/>
    </xf>
    <xf numFmtId="0" fontId="93" fillId="21" borderId="47" xfId="0" applyFont="1" applyFill="1" applyBorder="1"/>
    <xf numFmtId="3" fontId="115" fillId="3" borderId="29" xfId="3" applyNumberFormat="1" applyFont="1" applyFill="1" applyBorder="1" applyAlignment="1">
      <alignment horizontal="center"/>
    </xf>
    <xf numFmtId="0" fontId="93" fillId="21" borderId="38" xfId="0" applyFont="1" applyFill="1" applyBorder="1" applyAlignment="1">
      <alignment wrapText="1"/>
    </xf>
    <xf numFmtId="177" fontId="64" fillId="3" borderId="29" xfId="24" applyNumberFormat="1" applyFont="1" applyFill="1" applyBorder="1" applyAlignment="1">
      <alignment horizontal="center"/>
    </xf>
    <xf numFmtId="10" fontId="64" fillId="3" borderId="0" xfId="24" applyNumberFormat="1" applyFont="1" applyFill="1" applyBorder="1" applyAlignment="1">
      <alignment horizontal="center"/>
    </xf>
    <xf numFmtId="4" fontId="64" fillId="3" borderId="48" xfId="3" applyNumberFormat="1" applyFont="1" applyFill="1" applyBorder="1" applyAlignment="1">
      <alignment horizontal="center"/>
    </xf>
    <xf numFmtId="4" fontId="64" fillId="3" borderId="49" xfId="3" applyNumberFormat="1" applyFont="1" applyFill="1" applyBorder="1" applyAlignment="1">
      <alignment horizontal="center"/>
    </xf>
    <xf numFmtId="10" fontId="64" fillId="3" borderId="50" xfId="24" applyNumberFormat="1" applyFont="1" applyFill="1" applyBorder="1" applyAlignment="1">
      <alignment horizontal="center"/>
    </xf>
    <xf numFmtId="166" fontId="64" fillId="3" borderId="51" xfId="3" applyFont="1" applyFill="1" applyBorder="1" applyAlignment="1" applyProtection="1">
      <alignment horizontal="center"/>
    </xf>
    <xf numFmtId="0" fontId="18" fillId="3" borderId="0" xfId="0" applyFont="1" applyFill="1"/>
    <xf numFmtId="166" fontId="117" fillId="3" borderId="0" xfId="3" applyFont="1" applyFill="1" applyBorder="1" applyAlignment="1">
      <alignment horizontal="center"/>
    </xf>
    <xf numFmtId="166" fontId="117" fillId="3" borderId="0" xfId="3" applyFont="1" applyFill="1" applyBorder="1"/>
    <xf numFmtId="0" fontId="18" fillId="0" borderId="0" xfId="0" applyFont="1"/>
    <xf numFmtId="166" fontId="118" fillId="19" borderId="35" xfId="319" applyNumberFormat="1" applyFont="1" applyAlignment="1">
      <alignment horizontal="center"/>
    </xf>
    <xf numFmtId="0" fontId="64" fillId="3" borderId="29" xfId="24" applyNumberFormat="1" applyFont="1" applyFill="1" applyBorder="1" applyAlignment="1">
      <alignment horizontal="center"/>
    </xf>
    <xf numFmtId="165" fontId="18" fillId="20" borderId="42" xfId="9" applyFont="1" applyFill="1" applyBorder="1" applyAlignment="1">
      <alignment horizontal="center"/>
    </xf>
    <xf numFmtId="165" fontId="18" fillId="20" borderId="43" xfId="9" applyFont="1" applyFill="1" applyBorder="1" applyAlignment="1">
      <alignment horizontal="center"/>
    </xf>
    <xf numFmtId="165" fontId="18" fillId="20" borderId="44" xfId="9" applyFont="1" applyFill="1" applyBorder="1" applyAlignment="1">
      <alignment horizontal="center"/>
    </xf>
    <xf numFmtId="0" fontId="116" fillId="19" borderId="39" xfId="319" applyFont="1" applyBorder="1"/>
    <xf numFmtId="0" fontId="110" fillId="20" borderId="0" xfId="0" applyFont="1" applyFill="1"/>
    <xf numFmtId="179" fontId="64" fillId="3" borderId="29" xfId="24" applyNumberFormat="1" applyFont="1" applyFill="1" applyBorder="1" applyAlignment="1">
      <alignment horizontal="center"/>
    </xf>
    <xf numFmtId="10" fontId="119" fillId="3" borderId="29" xfId="24" applyNumberFormat="1" applyFont="1" applyFill="1" applyBorder="1" applyAlignment="1">
      <alignment horizontal="center"/>
    </xf>
    <xf numFmtId="10" fontId="118" fillId="19" borderId="46" xfId="24" applyNumberFormat="1" applyFont="1" applyFill="1" applyBorder="1" applyAlignment="1">
      <alignment horizontal="center"/>
    </xf>
    <xf numFmtId="166" fontId="76" fillId="0" borderId="32" xfId="3" applyFont="1" applyBorder="1"/>
    <xf numFmtId="4" fontId="64" fillId="3" borderId="0" xfId="3" applyNumberFormat="1" applyFont="1" applyFill="1" applyBorder="1" applyAlignment="1">
      <alignment horizontal="center" vertical="center" wrapText="1"/>
    </xf>
    <xf numFmtId="4" fontId="64" fillId="3" borderId="0" xfId="3" applyNumberFormat="1" applyFont="1" applyFill="1" applyBorder="1" applyAlignment="1">
      <alignment horizontal="center"/>
    </xf>
    <xf numFmtId="166" fontId="64" fillId="3" borderId="0" xfId="3" applyFont="1" applyFill="1" applyBorder="1" applyAlignment="1" applyProtection="1">
      <alignment horizontal="center"/>
    </xf>
    <xf numFmtId="3" fontId="64" fillId="3" borderId="0" xfId="3" applyNumberFormat="1" applyFont="1" applyFill="1" applyBorder="1" applyAlignment="1">
      <alignment horizontal="center"/>
    </xf>
    <xf numFmtId="3" fontId="115" fillId="3" borderId="0" xfId="3" applyNumberFormat="1" applyFont="1" applyFill="1" applyBorder="1" applyAlignment="1">
      <alignment horizontal="center"/>
    </xf>
    <xf numFmtId="10" fontId="119" fillId="3" borderId="0" xfId="24" applyNumberFormat="1" applyFont="1" applyFill="1" applyBorder="1" applyAlignment="1">
      <alignment horizontal="center"/>
    </xf>
    <xf numFmtId="0" fontId="64" fillId="3" borderId="0" xfId="24" applyNumberFormat="1" applyFont="1" applyFill="1" applyBorder="1" applyAlignment="1">
      <alignment horizontal="center"/>
    </xf>
    <xf numFmtId="179" fontId="64" fillId="3" borderId="0" xfId="24" applyNumberFormat="1" applyFont="1" applyFill="1" applyBorder="1" applyAlignment="1">
      <alignment horizontal="center"/>
    </xf>
    <xf numFmtId="177" fontId="64" fillId="3" borderId="0" xfId="24" applyNumberFormat="1" applyFont="1" applyFill="1" applyBorder="1" applyAlignment="1">
      <alignment horizontal="center"/>
    </xf>
    <xf numFmtId="0" fontId="113" fillId="3" borderId="0" xfId="0" applyFont="1" applyFill="1" applyBorder="1" applyAlignment="1">
      <alignment vertical="center"/>
    </xf>
    <xf numFmtId="0" fontId="18" fillId="3" borderId="0" xfId="0" applyFont="1" applyFill="1" applyBorder="1" applyAlignment="1">
      <alignment horizontal="center" vertical="center" wrapText="1"/>
    </xf>
    <xf numFmtId="165" fontId="18" fillId="3" borderId="0" xfId="9" applyFont="1" applyFill="1" applyBorder="1" applyAlignment="1">
      <alignment horizontal="center"/>
    </xf>
    <xf numFmtId="166" fontId="76" fillId="3" borderId="0" xfId="3" applyFont="1" applyFill="1" applyBorder="1"/>
    <xf numFmtId="10" fontId="64" fillId="3" borderId="38" xfId="24" applyNumberFormat="1" applyFont="1" applyFill="1" applyBorder="1" applyAlignment="1">
      <alignment horizontal="center"/>
    </xf>
    <xf numFmtId="10" fontId="118" fillId="19" borderId="45" xfId="24" applyNumberFormat="1" applyFont="1" applyFill="1" applyBorder="1" applyAlignment="1">
      <alignment horizontal="center"/>
    </xf>
    <xf numFmtId="0" fontId="13" fillId="3" borderId="0" xfId="0" applyFont="1" applyFill="1" applyBorder="1"/>
    <xf numFmtId="166" fontId="118" fillId="3" borderId="0" xfId="319" applyNumberFormat="1" applyFont="1" applyFill="1" applyBorder="1" applyAlignment="1">
      <alignment horizontal="center"/>
    </xf>
    <xf numFmtId="4" fontId="64" fillId="3" borderId="36" xfId="3" applyNumberFormat="1" applyFont="1" applyFill="1" applyBorder="1" applyAlignment="1">
      <alignment horizontal="center" vertical="center" wrapText="1"/>
    </xf>
    <xf numFmtId="0" fontId="18" fillId="21" borderId="53" xfId="0" applyFont="1" applyFill="1" applyBorder="1" applyAlignment="1">
      <alignment horizontal="center" vertical="center" wrapText="1"/>
    </xf>
    <xf numFmtId="0" fontId="18" fillId="21" borderId="54" xfId="0" applyFont="1" applyFill="1" applyBorder="1" applyAlignment="1">
      <alignment horizontal="center" vertical="center" wrapText="1"/>
    </xf>
    <xf numFmtId="0" fontId="18" fillId="21" borderId="55" xfId="0" applyFont="1" applyFill="1" applyBorder="1" applyAlignment="1">
      <alignment horizontal="center" vertical="center" wrapText="1"/>
    </xf>
    <xf numFmtId="4" fontId="64" fillId="3" borderId="56" xfId="3" applyNumberFormat="1" applyFont="1" applyFill="1" applyBorder="1" applyAlignment="1">
      <alignment horizontal="center"/>
    </xf>
    <xf numFmtId="10" fontId="64" fillId="3" borderId="57" xfId="24" applyNumberFormat="1" applyFont="1" applyFill="1" applyBorder="1" applyAlignment="1">
      <alignment horizontal="center"/>
    </xf>
    <xf numFmtId="166" fontId="64" fillId="3" borderId="58" xfId="3" applyFont="1" applyFill="1" applyBorder="1" applyAlignment="1" applyProtection="1">
      <alignment horizontal="center"/>
    </xf>
    <xf numFmtId="166" fontId="109" fillId="19" borderId="37" xfId="319" applyNumberFormat="1" applyBorder="1" applyAlignment="1">
      <alignment horizontal="center"/>
    </xf>
    <xf numFmtId="10" fontId="64" fillId="3" borderId="32" xfId="24" applyNumberFormat="1" applyFont="1" applyFill="1" applyBorder="1" applyAlignment="1">
      <alignment horizontal="center"/>
    </xf>
    <xf numFmtId="3" fontId="64" fillId="3" borderId="57" xfId="3" applyNumberFormat="1" applyFont="1" applyFill="1" applyBorder="1" applyAlignment="1">
      <alignment horizontal="center"/>
    </xf>
    <xf numFmtId="166" fontId="118" fillId="19" borderId="59" xfId="319" applyNumberFormat="1" applyFont="1" applyBorder="1" applyAlignment="1">
      <alignment horizontal="center"/>
    </xf>
    <xf numFmtId="179" fontId="64" fillId="3" borderId="60" xfId="24" applyNumberFormat="1" applyFont="1" applyFill="1" applyBorder="1" applyAlignment="1">
      <alignment horizontal="center"/>
    </xf>
    <xf numFmtId="177" fontId="64" fillId="3" borderId="57" xfId="24" applyNumberFormat="1" applyFont="1" applyFill="1" applyBorder="1" applyAlignment="1">
      <alignment horizontal="center"/>
    </xf>
    <xf numFmtId="10" fontId="119" fillId="3" borderId="57" xfId="24" applyNumberFormat="1" applyFont="1" applyFill="1" applyBorder="1" applyAlignment="1">
      <alignment horizontal="center"/>
    </xf>
    <xf numFmtId="10" fontId="118" fillId="3" borderId="40" xfId="24" applyNumberFormat="1" applyFont="1" applyFill="1" applyBorder="1" applyAlignment="1">
      <alignment horizontal="center"/>
    </xf>
    <xf numFmtId="0" fontId="64" fillId="3" borderId="58" xfId="24" applyNumberFormat="1" applyFont="1" applyFill="1" applyBorder="1" applyAlignment="1">
      <alignment horizontal="center"/>
    </xf>
    <xf numFmtId="3" fontId="115" fillId="3" borderId="61" xfId="3" applyNumberFormat="1" applyFont="1" applyFill="1" applyBorder="1" applyAlignment="1">
      <alignment horizontal="center"/>
    </xf>
    <xf numFmtId="10" fontId="64" fillId="3" borderId="62" xfId="24" applyNumberFormat="1" applyFont="1" applyFill="1" applyBorder="1" applyAlignment="1">
      <alignment horizontal="center"/>
    </xf>
    <xf numFmtId="0" fontId="116" fillId="19" borderId="45" xfId="319" applyFont="1" applyBorder="1"/>
    <xf numFmtId="0" fontId="93" fillId="0" borderId="32" xfId="0" applyFont="1" applyBorder="1"/>
    <xf numFmtId="0" fontId="93" fillId="0" borderId="32" xfId="0" applyFont="1" applyBorder="1" applyAlignment="1">
      <alignment horizontal="right"/>
    </xf>
    <xf numFmtId="0" fontId="93" fillId="21" borderId="52" xfId="0" applyFont="1" applyFill="1" applyBorder="1"/>
    <xf numFmtId="166" fontId="118" fillId="19" borderId="46" xfId="319" applyNumberFormat="1" applyFont="1" applyBorder="1" applyAlignment="1">
      <alignment horizontal="center"/>
    </xf>
    <xf numFmtId="166" fontId="118" fillId="19" borderId="63" xfId="319" applyNumberFormat="1" applyFont="1" applyBorder="1" applyAlignment="1">
      <alignment horizontal="center"/>
    </xf>
    <xf numFmtId="0" fontId="0" fillId="3" borderId="0" xfId="0" applyFill="1"/>
    <xf numFmtId="9" fontId="0" fillId="3" borderId="0" xfId="0" applyNumberFormat="1" applyFill="1"/>
    <xf numFmtId="165" fontId="0" fillId="3" borderId="0" xfId="0" applyNumberFormat="1" applyFill="1"/>
    <xf numFmtId="8" fontId="0" fillId="3" borderId="0" xfId="0" applyNumberFormat="1" applyFill="1"/>
    <xf numFmtId="166" fontId="103" fillId="15" borderId="0" xfId="3" applyFont="1" applyFill="1" applyBorder="1" applyAlignment="1" applyProtection="1">
      <alignment vertical="center"/>
      <protection hidden="1"/>
    </xf>
    <xf numFmtId="0" fontId="121" fillId="16" borderId="0" xfId="0" applyFont="1" applyFill="1" applyProtection="1">
      <protection hidden="1"/>
    </xf>
    <xf numFmtId="0" fontId="45" fillId="5" borderId="0" xfId="45" applyFont="1" applyFill="1" applyProtection="1">
      <protection locked="0"/>
    </xf>
    <xf numFmtId="0" fontId="18" fillId="5" borderId="0" xfId="45" applyFont="1" applyFill="1" applyProtection="1">
      <protection locked="0"/>
    </xf>
    <xf numFmtId="0" fontId="13" fillId="5" borderId="0" xfId="45" applyFill="1" applyProtection="1">
      <protection locked="0"/>
    </xf>
    <xf numFmtId="0" fontId="13" fillId="0" borderId="0" xfId="45" applyProtection="1">
      <protection locked="0"/>
    </xf>
    <xf numFmtId="0" fontId="13" fillId="0" borderId="0" xfId="45" applyFont="1" applyFill="1" applyBorder="1" applyProtection="1">
      <protection locked="0"/>
    </xf>
    <xf numFmtId="0" fontId="13" fillId="0" borderId="0" xfId="45" applyFill="1" applyBorder="1" applyProtection="1">
      <protection locked="0"/>
    </xf>
    <xf numFmtId="0" fontId="13" fillId="0" borderId="0" xfId="45" applyBorder="1" applyProtection="1">
      <protection locked="0"/>
    </xf>
    <xf numFmtId="0" fontId="21" fillId="0" borderId="0" xfId="45" applyFont="1" applyFill="1" applyBorder="1" applyProtection="1">
      <protection locked="0"/>
    </xf>
    <xf numFmtId="0" fontId="21" fillId="0" borderId="0" xfId="45" applyFont="1" applyBorder="1" applyProtection="1">
      <protection locked="0"/>
    </xf>
    <xf numFmtId="0" fontId="13" fillId="0" borderId="0" xfId="45" applyFill="1" applyProtection="1">
      <protection locked="0"/>
    </xf>
    <xf numFmtId="0" fontId="13" fillId="0" borderId="0" xfId="45" applyBorder="1" applyAlignment="1" applyProtection="1"/>
    <xf numFmtId="166" fontId="23" fillId="0" borderId="0" xfId="45" applyNumberFormat="1" applyFont="1" applyBorder="1" applyAlignment="1" applyProtection="1"/>
    <xf numFmtId="0" fontId="21" fillId="0" borderId="0" xfId="45" applyFont="1" applyBorder="1" applyAlignment="1" applyProtection="1">
      <protection locked="0"/>
    </xf>
    <xf numFmtId="0" fontId="13" fillId="5" borderId="0" xfId="45" applyFont="1" applyFill="1" applyProtection="1">
      <protection locked="0"/>
    </xf>
    <xf numFmtId="0" fontId="23" fillId="0" borderId="0" xfId="45" applyFont="1" applyFill="1" applyBorder="1" applyProtection="1">
      <protection locked="0"/>
    </xf>
    <xf numFmtId="166" fontId="23" fillId="0" borderId="0" xfId="45" applyNumberFormat="1" applyFont="1" applyFill="1" applyBorder="1" applyProtection="1"/>
    <xf numFmtId="0" fontId="23" fillId="0" borderId="0" xfId="45" applyFont="1" applyBorder="1" applyProtection="1">
      <protection locked="0"/>
    </xf>
    <xf numFmtId="0" fontId="122" fillId="5" borderId="0" xfId="45" applyFont="1" applyFill="1" applyProtection="1">
      <protection locked="0"/>
    </xf>
    <xf numFmtId="0" fontId="122" fillId="0" borderId="0" xfId="45" applyFont="1" applyFill="1" applyBorder="1" applyProtection="1">
      <protection locked="0"/>
    </xf>
    <xf numFmtId="0" fontId="123" fillId="0" borderId="0" xfId="45" applyFont="1" applyBorder="1" applyProtection="1">
      <protection locked="0"/>
    </xf>
    <xf numFmtId="0" fontId="122" fillId="0" borderId="0" xfId="45" applyFont="1" applyProtection="1">
      <protection locked="0"/>
    </xf>
    <xf numFmtId="0" fontId="122" fillId="0" borderId="0" xfId="45" applyFont="1" applyBorder="1" applyProtection="1">
      <protection locked="0"/>
    </xf>
    <xf numFmtId="0" fontId="123" fillId="0" borderId="0" xfId="45" applyFont="1" applyBorder="1" applyAlignment="1" applyProtection="1">
      <protection hidden="1"/>
    </xf>
    <xf numFmtId="0" fontId="122" fillId="0" borderId="0" xfId="45" applyFont="1" applyBorder="1" applyAlignment="1" applyProtection="1">
      <protection locked="0"/>
    </xf>
    <xf numFmtId="165" fontId="122" fillId="0" borderId="0" xfId="45" applyNumberFormat="1" applyFont="1" applyBorder="1" applyAlignment="1" applyProtection="1">
      <protection locked="0"/>
    </xf>
    <xf numFmtId="0" fontId="122" fillId="0" borderId="0" xfId="45" applyFont="1" applyBorder="1" applyAlignment="1" applyProtection="1">
      <alignment horizontal="left"/>
      <protection locked="0"/>
    </xf>
    <xf numFmtId="0" fontId="38" fillId="0" borderId="0" xfId="45" applyFont="1" applyBorder="1" applyProtection="1">
      <protection locked="0"/>
    </xf>
    <xf numFmtId="0" fontId="33" fillId="3" borderId="0" xfId="45" applyFont="1" applyFill="1" applyBorder="1" applyProtection="1">
      <protection hidden="1"/>
    </xf>
    <xf numFmtId="0" fontId="13" fillId="0" borderId="0" xfId="45" applyBorder="1" applyProtection="1">
      <protection hidden="1"/>
    </xf>
    <xf numFmtId="0" fontId="23" fillId="0" borderId="0" xfId="45" applyFont="1" applyFill="1" applyBorder="1" applyAlignment="1" applyProtection="1">
      <protection locked="0"/>
    </xf>
    <xf numFmtId="0" fontId="19" fillId="0" borderId="0" xfId="45" applyFont="1" applyBorder="1" applyProtection="1">
      <protection locked="0"/>
    </xf>
    <xf numFmtId="4" fontId="35" fillId="3" borderId="0" xfId="45" applyNumberFormat="1" applyFont="1" applyFill="1" applyBorder="1" applyAlignment="1" applyProtection="1">
      <protection hidden="1"/>
    </xf>
    <xf numFmtId="0" fontId="13" fillId="0" borderId="0" xfId="45" applyFont="1" applyBorder="1" applyProtection="1">
      <protection hidden="1"/>
    </xf>
    <xf numFmtId="4" fontId="36" fillId="0" borderId="0" xfId="45" applyNumberFormat="1" applyFont="1" applyFill="1" applyBorder="1" applyAlignment="1" applyProtection="1">
      <protection locked="0"/>
    </xf>
    <xf numFmtId="0" fontId="57" fillId="0" borderId="0" xfId="45" applyFont="1" applyFill="1" applyBorder="1" applyProtection="1">
      <protection locked="0"/>
    </xf>
    <xf numFmtId="0" fontId="124" fillId="0" borderId="0" xfId="45" applyFont="1" applyBorder="1" applyProtection="1">
      <protection locked="0"/>
    </xf>
    <xf numFmtId="0" fontId="125" fillId="0" borderId="0" xfId="45" applyFont="1" applyBorder="1" applyProtection="1">
      <protection locked="0"/>
    </xf>
    <xf numFmtId="10" fontId="34" fillId="3" borderId="0" xfId="45" applyNumberFormat="1" applyFont="1" applyFill="1" applyBorder="1" applyAlignment="1" applyProtection="1">
      <protection hidden="1"/>
    </xf>
    <xf numFmtId="10" fontId="33" fillId="0" borderId="0" xfId="45" applyNumberFormat="1" applyFont="1" applyBorder="1" applyProtection="1">
      <protection hidden="1"/>
    </xf>
    <xf numFmtId="10" fontId="34" fillId="0" borderId="0" xfId="45" applyNumberFormat="1" applyFont="1" applyFill="1" applyBorder="1" applyAlignment="1" applyProtection="1">
      <protection hidden="1"/>
    </xf>
    <xf numFmtId="0" fontId="35" fillId="3" borderId="0" xfId="45" applyFont="1" applyFill="1" applyBorder="1" applyAlignment="1" applyProtection="1">
      <protection hidden="1"/>
    </xf>
    <xf numFmtId="0" fontId="35" fillId="0" borderId="0" xfId="45" applyFont="1" applyFill="1" applyBorder="1" applyAlignment="1" applyProtection="1">
      <protection hidden="1"/>
    </xf>
    <xf numFmtId="165" fontId="35" fillId="3" borderId="0" xfId="45" applyNumberFormat="1" applyFont="1" applyFill="1" applyBorder="1" applyAlignment="1" applyProtection="1">
      <protection hidden="1"/>
    </xf>
    <xf numFmtId="4" fontId="36" fillId="0" borderId="0" xfId="45" applyNumberFormat="1" applyFont="1" applyFill="1" applyBorder="1" applyAlignment="1" applyProtection="1">
      <alignment horizontal="center"/>
      <protection locked="0"/>
    </xf>
    <xf numFmtId="167" fontId="37" fillId="3" borderId="0" xfId="52" applyNumberFormat="1" applyFont="1" applyFill="1" applyBorder="1" applyAlignment="1" applyProtection="1">
      <alignment horizontal="center"/>
      <protection hidden="1"/>
    </xf>
    <xf numFmtId="4" fontId="35" fillId="3" borderId="0" xfId="45" applyNumberFormat="1" applyFont="1" applyFill="1" applyBorder="1" applyAlignment="1" applyProtection="1">
      <alignment horizontal="right"/>
      <protection hidden="1"/>
    </xf>
    <xf numFmtId="167" fontId="37" fillId="0" borderId="0" xfId="52" applyNumberFormat="1" applyFont="1" applyFill="1" applyBorder="1" applyAlignment="1" applyProtection="1">
      <alignment horizontal="center"/>
      <protection hidden="1"/>
    </xf>
    <xf numFmtId="4" fontId="35" fillId="0" borderId="0" xfId="45" applyNumberFormat="1" applyFont="1" applyFill="1" applyBorder="1" applyAlignment="1" applyProtection="1">
      <alignment horizontal="right"/>
      <protection hidden="1"/>
    </xf>
    <xf numFmtId="0" fontId="34" fillId="3" borderId="0" xfId="45" applyFont="1" applyFill="1" applyBorder="1" applyProtection="1">
      <protection locked="0"/>
    </xf>
    <xf numFmtId="0" fontId="34" fillId="0" borderId="0" xfId="45" applyFont="1" applyFill="1" applyBorder="1" applyProtection="1">
      <protection locked="0"/>
    </xf>
    <xf numFmtId="0" fontId="46" fillId="3" borderId="0" xfId="45" applyFont="1" applyFill="1" applyBorder="1" applyProtection="1">
      <protection locked="0"/>
    </xf>
    <xf numFmtId="0" fontId="22" fillId="0" borderId="0" xfId="45" applyFont="1" applyFill="1" applyBorder="1" applyProtection="1">
      <protection locked="0"/>
    </xf>
    <xf numFmtId="0" fontId="22" fillId="0" borderId="0" xfId="45" applyFont="1" applyBorder="1" applyProtection="1">
      <protection locked="0"/>
    </xf>
    <xf numFmtId="0" fontId="35" fillId="0" borderId="0" xfId="45" applyFont="1" applyBorder="1" applyProtection="1">
      <protection locked="0"/>
    </xf>
    <xf numFmtId="0" fontId="34" fillId="3" borderId="70" xfId="45" applyFont="1" applyFill="1" applyBorder="1" applyAlignment="1" applyProtection="1">
      <protection hidden="1"/>
    </xf>
    <xf numFmtId="0" fontId="34" fillId="3" borderId="0" xfId="45" applyFont="1" applyFill="1" applyBorder="1" applyAlignment="1" applyProtection="1">
      <protection hidden="1"/>
    </xf>
    <xf numFmtId="0" fontId="34" fillId="3" borderId="71" xfId="45" applyFont="1" applyFill="1" applyBorder="1" applyAlignment="1" applyProtection="1">
      <protection hidden="1"/>
    </xf>
    <xf numFmtId="0" fontId="34" fillId="0" borderId="70" xfId="45" applyFont="1" applyFill="1" applyBorder="1" applyAlignment="1" applyProtection="1">
      <protection hidden="1"/>
    </xf>
    <xf numFmtId="0" fontId="34" fillId="0" borderId="0" xfId="45" applyFont="1" applyFill="1" applyBorder="1" applyAlignment="1" applyProtection="1">
      <protection hidden="1"/>
    </xf>
    <xf numFmtId="0" fontId="34" fillId="0" borderId="71" xfId="45" applyFont="1" applyFill="1" applyBorder="1" applyAlignment="1" applyProtection="1">
      <protection hidden="1"/>
    </xf>
    <xf numFmtId="4" fontId="35" fillId="3" borderId="70" xfId="45" applyNumberFormat="1" applyFont="1" applyFill="1" applyBorder="1" applyAlignment="1" applyProtection="1">
      <protection hidden="1"/>
    </xf>
    <xf numFmtId="4" fontId="35" fillId="0" borderId="70" xfId="45" applyNumberFormat="1" applyFont="1" applyFill="1" applyBorder="1" applyAlignment="1" applyProtection="1">
      <protection hidden="1"/>
    </xf>
    <xf numFmtId="4" fontId="35" fillId="0" borderId="0" xfId="45" applyNumberFormat="1" applyFont="1" applyFill="1" applyBorder="1" applyAlignment="1" applyProtection="1">
      <protection hidden="1"/>
    </xf>
    <xf numFmtId="10" fontId="21" fillId="3" borderId="75" xfId="45" applyNumberFormat="1" applyFont="1" applyFill="1" applyBorder="1" applyAlignment="1" applyProtection="1">
      <protection hidden="1"/>
    </xf>
    <xf numFmtId="10" fontId="21" fillId="3" borderId="76" xfId="45" applyNumberFormat="1" applyFont="1" applyFill="1" applyBorder="1" applyAlignment="1" applyProtection="1">
      <protection hidden="1"/>
    </xf>
    <xf numFmtId="168" fontId="21" fillId="3" borderId="0" xfId="45" applyNumberFormat="1" applyFont="1" applyFill="1" applyBorder="1" applyAlignment="1" applyProtection="1">
      <protection hidden="1"/>
    </xf>
    <xf numFmtId="168" fontId="21" fillId="3" borderId="75" xfId="45" applyNumberFormat="1" applyFont="1" applyFill="1" applyBorder="1" applyAlignment="1" applyProtection="1">
      <protection hidden="1"/>
    </xf>
    <xf numFmtId="168" fontId="21" fillId="3" borderId="76" xfId="45" applyNumberFormat="1" applyFont="1" applyFill="1" applyBorder="1" applyAlignment="1" applyProtection="1">
      <protection hidden="1"/>
    </xf>
    <xf numFmtId="168" fontId="13" fillId="0" borderId="0" xfId="45" applyNumberFormat="1" applyFont="1" applyBorder="1" applyProtection="1">
      <protection hidden="1"/>
    </xf>
    <xf numFmtId="168" fontId="21" fillId="0" borderId="75" xfId="45" applyNumberFormat="1" applyFont="1" applyFill="1" applyBorder="1" applyAlignment="1" applyProtection="1">
      <protection hidden="1"/>
    </xf>
    <xf numFmtId="168" fontId="21" fillId="0" borderId="76" xfId="45" applyNumberFormat="1" applyFont="1" applyFill="1" applyBorder="1" applyAlignment="1" applyProtection="1">
      <protection hidden="1"/>
    </xf>
    <xf numFmtId="0" fontId="123" fillId="0" borderId="0" xfId="45" applyFont="1" applyFill="1" applyBorder="1" applyProtection="1">
      <protection locked="0"/>
    </xf>
    <xf numFmtId="0" fontId="35" fillId="0" borderId="0" xfId="45" applyFont="1" applyFill="1" applyBorder="1" applyProtection="1">
      <protection locked="0"/>
    </xf>
    <xf numFmtId="0" fontId="21" fillId="0" borderId="0" xfId="45" applyFont="1"/>
    <xf numFmtId="0" fontId="122" fillId="3" borderId="0" xfId="45" applyFont="1" applyFill="1" applyBorder="1" applyProtection="1">
      <protection locked="0"/>
    </xf>
    <xf numFmtId="0" fontId="34" fillId="3" borderId="64" xfId="45" applyFont="1" applyFill="1" applyBorder="1" applyAlignment="1" applyProtection="1">
      <protection hidden="1"/>
    </xf>
    <xf numFmtId="0" fontId="34" fillId="3" borderId="65" xfId="45" applyFont="1" applyFill="1" applyBorder="1" applyAlignment="1" applyProtection="1">
      <protection hidden="1"/>
    </xf>
    <xf numFmtId="0" fontId="34" fillId="3" borderId="66" xfId="45" applyFont="1" applyFill="1" applyBorder="1" applyAlignment="1" applyProtection="1">
      <protection hidden="1"/>
    </xf>
    <xf numFmtId="10" fontId="35" fillId="3" borderId="75" xfId="45" applyNumberFormat="1" applyFont="1" applyFill="1" applyBorder="1" applyAlignment="1" applyProtection="1">
      <protection hidden="1"/>
    </xf>
    <xf numFmtId="10" fontId="35" fillId="3" borderId="76" xfId="45" applyNumberFormat="1" applyFont="1" applyFill="1" applyBorder="1" applyAlignment="1" applyProtection="1">
      <protection hidden="1"/>
    </xf>
    <xf numFmtId="0" fontId="21" fillId="0" borderId="0" xfId="45" applyFont="1" applyBorder="1" applyAlignment="1" applyProtection="1">
      <alignment horizontal="left"/>
      <protection locked="0"/>
    </xf>
    <xf numFmtId="0" fontId="21" fillId="0" borderId="0" xfId="45" applyFont="1" applyAlignment="1">
      <alignment horizontal="left"/>
    </xf>
    <xf numFmtId="0" fontId="22" fillId="0" borderId="0" xfId="45" applyFont="1" applyBorder="1" applyAlignment="1" applyProtection="1">
      <alignment horizontal="left"/>
      <protection locked="0"/>
    </xf>
    <xf numFmtId="0" fontId="13" fillId="3" borderId="0" xfId="45" applyFill="1" applyProtection="1">
      <protection locked="0"/>
    </xf>
    <xf numFmtId="165" fontId="118" fillId="19" borderId="35" xfId="9" applyFont="1" applyFill="1" applyBorder="1" applyAlignment="1">
      <alignment horizontal="center"/>
    </xf>
    <xf numFmtId="10" fontId="117" fillId="3" borderId="0" xfId="24" applyNumberFormat="1" applyFont="1" applyFill="1" applyBorder="1" applyAlignment="1">
      <alignment horizontal="center"/>
    </xf>
    <xf numFmtId="166" fontId="77" fillId="15" borderId="0" xfId="3" applyFont="1" applyFill="1" applyBorder="1" applyAlignment="1" applyProtection="1"/>
    <xf numFmtId="0" fontId="76" fillId="15" borderId="0" xfId="0" applyFont="1" applyFill="1" applyBorder="1" applyAlignment="1" applyProtection="1"/>
    <xf numFmtId="0" fontId="66" fillId="3" borderId="0" xfId="0" applyFont="1" applyFill="1" applyBorder="1" applyAlignment="1" applyProtection="1">
      <alignment horizontal="center"/>
    </xf>
    <xf numFmtId="0" fontId="48" fillId="15" borderId="0" xfId="0" applyFont="1" applyFill="1" applyBorder="1" applyAlignment="1" applyProtection="1">
      <alignment horizontal="center"/>
      <protection hidden="1"/>
    </xf>
    <xf numFmtId="0" fontId="73" fillId="15" borderId="0" xfId="0" applyFont="1" applyFill="1" applyBorder="1" applyAlignment="1" applyProtection="1">
      <alignment horizontal="center"/>
      <protection hidden="1"/>
    </xf>
    <xf numFmtId="166" fontId="33" fillId="15" borderId="0" xfId="3" applyNumberFormat="1" applyFont="1" applyFill="1" applyBorder="1" applyAlignment="1" applyProtection="1">
      <alignment horizontal="right" vertical="center"/>
      <protection hidden="1"/>
    </xf>
    <xf numFmtId="0" fontId="129" fillId="3" borderId="17" xfId="124" applyFont="1" applyFill="1" applyBorder="1" applyAlignment="1">
      <alignment horizontal="center"/>
    </xf>
    <xf numFmtId="10" fontId="19" fillId="3" borderId="18" xfId="123" applyNumberFormat="1" applyFont="1" applyFill="1" applyBorder="1"/>
    <xf numFmtId="10" fontId="19" fillId="3" borderId="19" xfId="123" applyNumberFormat="1" applyFont="1" applyFill="1" applyBorder="1" applyAlignment="1">
      <alignment horizontal="right"/>
    </xf>
    <xf numFmtId="10" fontId="19" fillId="3" borderId="20" xfId="123" applyNumberFormat="1" applyFont="1" applyFill="1" applyBorder="1"/>
    <xf numFmtId="10" fontId="19" fillId="3" borderId="22" xfId="123" applyNumberFormat="1" applyFont="1" applyFill="1" applyBorder="1"/>
    <xf numFmtId="10" fontId="19" fillId="3" borderId="23" xfId="123" applyNumberFormat="1" applyFont="1" applyFill="1" applyBorder="1" applyAlignment="1">
      <alignment horizontal="right"/>
    </xf>
    <xf numFmtId="10" fontId="19" fillId="3" borderId="24" xfId="123" applyNumberFormat="1" applyFont="1" applyFill="1" applyBorder="1"/>
    <xf numFmtId="10" fontId="130" fillId="11" borderId="22" xfId="123" applyNumberFormat="1" applyFont="1" applyFill="1" applyBorder="1"/>
    <xf numFmtId="10" fontId="130" fillId="11" borderId="23" xfId="123" applyNumberFormat="1" applyFont="1" applyFill="1" applyBorder="1" applyAlignment="1">
      <alignment horizontal="right"/>
    </xf>
    <xf numFmtId="10" fontId="130" fillId="11" borderId="24" xfId="123" applyNumberFormat="1" applyFont="1" applyFill="1" applyBorder="1"/>
    <xf numFmtId="0" fontId="129" fillId="6" borderId="17" xfId="124" applyFont="1" applyFill="1" applyBorder="1" applyAlignment="1">
      <alignment horizontal="center"/>
    </xf>
    <xf numFmtId="10" fontId="131" fillId="3" borderId="22" xfId="123" applyNumberFormat="1" applyFont="1" applyFill="1" applyBorder="1"/>
    <xf numFmtId="10" fontId="131" fillId="3" borderId="23" xfId="123" applyNumberFormat="1" applyFont="1" applyFill="1" applyBorder="1" applyAlignment="1">
      <alignment horizontal="right"/>
    </xf>
    <xf numFmtId="10" fontId="131" fillId="3" borderId="24" xfId="123" applyNumberFormat="1" applyFont="1" applyFill="1" applyBorder="1"/>
    <xf numFmtId="10" fontId="131" fillId="3" borderId="26" xfId="123" applyNumberFormat="1" applyFont="1" applyFill="1" applyBorder="1"/>
    <xf numFmtId="10" fontId="131" fillId="3" borderId="27" xfId="123" applyNumberFormat="1" applyFont="1" applyFill="1" applyBorder="1" applyAlignment="1">
      <alignment horizontal="right"/>
    </xf>
    <xf numFmtId="10" fontId="131" fillId="3" borderId="28" xfId="123" applyNumberFormat="1" applyFont="1" applyFill="1" applyBorder="1"/>
    <xf numFmtId="0" fontId="129" fillId="8" borderId="16" xfId="124" applyFont="1" applyFill="1" applyBorder="1" applyAlignment="1">
      <alignment horizontal="center"/>
    </xf>
    <xf numFmtId="0" fontId="129" fillId="8" borderId="21" xfId="124" applyFont="1" applyFill="1" applyBorder="1" applyAlignment="1">
      <alignment horizontal="center"/>
    </xf>
    <xf numFmtId="0" fontId="19" fillId="8" borderId="21" xfId="124" applyFont="1" applyFill="1" applyBorder="1" applyAlignment="1">
      <alignment horizontal="center"/>
    </xf>
    <xf numFmtId="0" fontId="19" fillId="3" borderId="17" xfId="124" applyFont="1" applyFill="1" applyBorder="1" applyAlignment="1">
      <alignment horizontal="center"/>
    </xf>
    <xf numFmtId="10" fontId="58" fillId="11" borderId="22" xfId="123" applyNumberFormat="1" applyFont="1" applyFill="1" applyBorder="1"/>
    <xf numFmtId="10" fontId="58" fillId="11" borderId="23" xfId="123" applyNumberFormat="1" applyFont="1" applyFill="1" applyBorder="1" applyAlignment="1">
      <alignment horizontal="right"/>
    </xf>
    <xf numFmtId="10" fontId="58" fillId="11" borderId="24" xfId="123" applyNumberFormat="1" applyFont="1" applyFill="1" applyBorder="1"/>
    <xf numFmtId="0" fontId="129" fillId="8" borderId="25" xfId="124" applyFont="1" applyFill="1" applyBorder="1" applyAlignment="1">
      <alignment horizontal="center"/>
    </xf>
    <xf numFmtId="166" fontId="77" fillId="15" borderId="0" xfId="3" applyFont="1" applyFill="1" applyBorder="1" applyAlignment="1" applyProtection="1"/>
    <xf numFmtId="0" fontId="76" fillId="15" borderId="0" xfId="0" applyFont="1" applyFill="1" applyBorder="1" applyAlignment="1" applyProtection="1"/>
    <xf numFmtId="0" fontId="52" fillId="16" borderId="0" xfId="45" applyFont="1" applyFill="1" applyBorder="1" applyAlignment="1" applyProtection="1">
      <alignment horizontal="left"/>
    </xf>
    <xf numFmtId="166" fontId="70" fillId="16" borderId="0" xfId="3" applyFont="1" applyFill="1" applyBorder="1" applyAlignment="1" applyProtection="1">
      <alignment horizontal="right"/>
    </xf>
    <xf numFmtId="0" fontId="70" fillId="16" borderId="0" xfId="0" applyFont="1" applyFill="1" applyBorder="1" applyAlignment="1" applyProtection="1">
      <alignment horizontal="right" vertical="center" wrapText="1"/>
    </xf>
    <xf numFmtId="0" fontId="89" fillId="2" borderId="2" xfId="111" applyFill="1" applyBorder="1" applyAlignment="1" applyProtection="1">
      <alignment horizontal="left" vertical="center" wrapText="1"/>
      <protection locked="0"/>
    </xf>
    <xf numFmtId="0" fontId="80" fillId="0" borderId="0" xfId="0" applyFont="1" applyFill="1" applyBorder="1" applyAlignment="1" applyProtection="1">
      <alignment wrapText="1"/>
    </xf>
    <xf numFmtId="0" fontId="0" fillId="0" borderId="0" xfId="0" applyFill="1" applyBorder="1" applyAlignment="1" applyProtection="1">
      <alignment wrapText="1"/>
    </xf>
    <xf numFmtId="0" fontId="59" fillId="0" borderId="0" xfId="0" applyFont="1" applyFill="1" applyBorder="1" applyAlignment="1" applyProtection="1">
      <alignment horizontal="center"/>
    </xf>
    <xf numFmtId="0" fontId="132" fillId="15" borderId="0" xfId="0" applyFont="1" applyFill="1" applyBorder="1" applyAlignment="1" applyProtection="1">
      <alignment horizontal="center" vertical="center" wrapText="1"/>
    </xf>
    <xf numFmtId="0" fontId="74" fillId="3" borderId="0" xfId="0" applyFont="1" applyFill="1" applyBorder="1" applyAlignment="1" applyProtection="1">
      <alignment horizontal="left" vertical="center" wrapText="1" indent="1"/>
    </xf>
    <xf numFmtId="0" fontId="75" fillId="3" borderId="0" xfId="0" applyFont="1" applyFill="1" applyBorder="1" applyAlignment="1" applyProtection="1">
      <alignment horizontal="left" vertical="center" wrapText="1" indent="1"/>
    </xf>
    <xf numFmtId="0" fontId="87" fillId="3" borderId="0" xfId="0" applyFont="1" applyFill="1" applyBorder="1" applyAlignment="1" applyProtection="1">
      <alignment horizontal="right" vertical="center" wrapText="1"/>
    </xf>
    <xf numFmtId="0" fontId="75" fillId="3" borderId="0" xfId="0" applyFont="1" applyFill="1" applyBorder="1" applyAlignment="1" applyProtection="1">
      <alignment horizontal="center" vertical="center" wrapText="1"/>
    </xf>
    <xf numFmtId="0" fontId="134" fillId="3" borderId="0" xfId="0" applyFont="1" applyFill="1" applyBorder="1" applyAlignment="1" applyProtection="1">
      <alignment horizontal="left" vertical="center" wrapText="1" indent="1"/>
    </xf>
    <xf numFmtId="0" fontId="135" fillId="3" borderId="0" xfId="0" applyFont="1" applyFill="1" applyBorder="1" applyAlignment="1" applyProtection="1">
      <alignment horizontal="center" vertical="center" wrapText="1"/>
    </xf>
    <xf numFmtId="0" fontId="133" fillId="3" borderId="0" xfId="0" applyFont="1" applyFill="1" applyBorder="1" applyAlignment="1" applyProtection="1">
      <alignment vertical="center"/>
    </xf>
    <xf numFmtId="0" fontId="133" fillId="3" borderId="0" xfId="0" applyFont="1" applyFill="1" applyBorder="1" applyAlignment="1" applyProtection="1">
      <alignment vertical="center" wrapText="1"/>
    </xf>
    <xf numFmtId="0" fontId="139" fillId="16" borderId="0" xfId="0" applyFont="1" applyFill="1" applyBorder="1" applyAlignment="1" applyProtection="1">
      <alignment vertical="center"/>
    </xf>
    <xf numFmtId="0" fontId="139" fillId="16" borderId="0" xfId="0" applyFont="1" applyFill="1" applyBorder="1" applyAlignment="1" applyProtection="1">
      <alignment vertical="center" wrapText="1"/>
    </xf>
    <xf numFmtId="0" fontId="140" fillId="16" borderId="0" xfId="0" applyFont="1" applyFill="1" applyBorder="1" applyAlignment="1" applyProtection="1">
      <alignment horizontal="left" vertical="center"/>
    </xf>
    <xf numFmtId="166" fontId="141" fillId="16" borderId="0" xfId="3" applyFont="1" applyFill="1" applyBorder="1" applyAlignment="1" applyProtection="1">
      <alignment horizontal="right"/>
    </xf>
    <xf numFmtId="166" fontId="0" fillId="3" borderId="0" xfId="3" applyFont="1" applyFill="1" applyBorder="1" applyProtection="1"/>
    <xf numFmtId="0" fontId="60" fillId="0" borderId="0" xfId="0" applyFont="1" applyFill="1" applyBorder="1" applyAlignment="1" applyProtection="1">
      <alignment horizontal="center"/>
    </xf>
    <xf numFmtId="0" fontId="19" fillId="5" borderId="0" xfId="0" applyFont="1" applyFill="1" applyBorder="1" applyProtection="1"/>
    <xf numFmtId="0" fontId="41" fillId="16" borderId="0" xfId="0" applyFont="1" applyFill="1" applyBorder="1" applyAlignment="1" applyProtection="1">
      <alignment horizontal="left" vertical="center" wrapText="1" indent="1"/>
    </xf>
    <xf numFmtId="0" fontId="142" fillId="16" borderId="0" xfId="0" applyFont="1" applyFill="1" applyBorder="1" applyAlignment="1" applyProtection="1">
      <alignment horizontal="left" vertical="center" wrapText="1" indent="1"/>
    </xf>
    <xf numFmtId="0" fontId="142" fillId="16" borderId="0" xfId="0" applyFont="1" applyFill="1" applyBorder="1" applyAlignment="1" applyProtection="1">
      <alignment horizontal="center" vertical="center" wrapText="1"/>
    </xf>
    <xf numFmtId="0" fontId="19" fillId="16" borderId="0" xfId="0" applyFont="1" applyFill="1" applyBorder="1" applyProtection="1"/>
    <xf numFmtId="0" fontId="19" fillId="0" borderId="0" xfId="0" applyFont="1" applyFill="1" applyBorder="1" applyProtection="1"/>
    <xf numFmtId="0" fontId="19" fillId="0" borderId="0" xfId="0" applyFont="1" applyFill="1" applyProtection="1"/>
    <xf numFmtId="0" fontId="58" fillId="16" borderId="0" xfId="0" applyFont="1" applyFill="1" applyBorder="1" applyAlignment="1" applyProtection="1">
      <alignment horizontal="left" vertical="center" wrapText="1"/>
    </xf>
    <xf numFmtId="166" fontId="143" fillId="3" borderId="0" xfId="3" applyFont="1" applyFill="1" applyBorder="1" applyProtection="1"/>
    <xf numFmtId="0" fontId="137" fillId="3" borderId="0" xfId="0" applyFont="1" applyFill="1" applyBorder="1" applyAlignment="1" applyProtection="1">
      <protection locked="0"/>
    </xf>
    <xf numFmtId="0" fontId="33" fillId="16" borderId="0" xfId="0" applyFont="1" applyFill="1" applyBorder="1" applyProtection="1"/>
    <xf numFmtId="166" fontId="145" fillId="3" borderId="0" xfId="3" applyFont="1" applyFill="1" applyBorder="1" applyProtection="1"/>
    <xf numFmtId="0" fontId="70" fillId="16" borderId="0" xfId="0" applyFont="1" applyFill="1" applyBorder="1" applyAlignment="1" applyProtection="1">
      <alignment vertical="center" wrapText="1"/>
    </xf>
    <xf numFmtId="165" fontId="90" fillId="16" borderId="0" xfId="9" applyFont="1" applyFill="1" applyBorder="1" applyAlignment="1" applyProtection="1">
      <alignment horizontal="left"/>
      <protection hidden="1"/>
    </xf>
    <xf numFmtId="0" fontId="40" fillId="27" borderId="0" xfId="0" applyFont="1" applyFill="1" applyBorder="1" applyAlignment="1" applyProtection="1">
      <alignment horizontal="left" vertical="center" wrapText="1" indent="1"/>
    </xf>
    <xf numFmtId="0" fontId="92" fillId="3" borderId="0" xfId="0" applyFont="1" applyFill="1" applyBorder="1" applyAlignment="1" applyProtection="1">
      <alignment horizontal="center" vertical="center" wrapText="1"/>
    </xf>
    <xf numFmtId="0" fontId="41" fillId="3" borderId="0" xfId="0" applyFont="1" applyFill="1" applyBorder="1" applyAlignment="1" applyProtection="1">
      <alignment horizontal="left" vertical="center" wrapText="1"/>
    </xf>
    <xf numFmtId="0" fontId="40"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center" wrapText="1" indent="1"/>
    </xf>
    <xf numFmtId="0" fontId="70" fillId="16" borderId="0" xfId="0" applyFont="1" applyFill="1" applyBorder="1" applyAlignment="1" applyProtection="1">
      <alignment horizontal="left" vertical="center" indent="1"/>
    </xf>
    <xf numFmtId="0" fontId="74" fillId="27" borderId="0" xfId="0" applyFont="1" applyFill="1" applyBorder="1" applyAlignment="1" applyProtection="1">
      <alignment horizontal="left" vertical="center" wrapText="1" indent="1"/>
    </xf>
    <xf numFmtId="0" fontId="54" fillId="27" borderId="0" xfId="0" applyFont="1" applyFill="1" applyBorder="1" applyAlignment="1" applyProtection="1">
      <alignment vertical="center" wrapText="1"/>
    </xf>
    <xf numFmtId="0" fontId="55" fillId="27" borderId="0" xfId="0" applyFont="1" applyFill="1" applyBorder="1" applyAlignment="1" applyProtection="1"/>
    <xf numFmtId="1" fontId="60" fillId="7" borderId="9" xfId="0" applyNumberFormat="1" applyFont="1" applyFill="1" applyBorder="1" applyAlignment="1" applyProtection="1">
      <alignment horizontal="center"/>
      <protection hidden="1"/>
    </xf>
    <xf numFmtId="0" fontId="13" fillId="7" borderId="9" xfId="0" applyFont="1" applyFill="1" applyBorder="1" applyAlignment="1" applyProtection="1">
      <alignment horizontal="center"/>
    </xf>
    <xf numFmtId="0" fontId="0" fillId="7" borderId="9" xfId="0" applyFill="1" applyBorder="1" applyAlignment="1" applyProtection="1">
      <alignment horizontal="center"/>
    </xf>
    <xf numFmtId="0" fontId="40" fillId="3" borderId="0" xfId="0" applyFont="1" applyFill="1" applyBorder="1" applyAlignment="1" applyProtection="1">
      <alignment horizontal="center" vertical="center" wrapText="1"/>
    </xf>
    <xf numFmtId="1" fontId="66" fillId="7" borderId="0" xfId="0" applyNumberFormat="1" applyFont="1" applyFill="1" applyBorder="1" applyAlignment="1" applyProtection="1">
      <alignment horizontal="center"/>
    </xf>
    <xf numFmtId="166" fontId="96" fillId="15" borderId="0" xfId="3" applyFont="1" applyFill="1" applyBorder="1" applyAlignment="1" applyProtection="1"/>
    <xf numFmtId="0" fontId="96" fillId="15" borderId="0" xfId="0" applyFont="1" applyFill="1" applyBorder="1" applyAlignment="1" applyProtection="1"/>
    <xf numFmtId="9" fontId="14" fillId="0" borderId="0" xfId="0" applyNumberFormat="1" applyFont="1" applyBorder="1" applyAlignment="1" applyProtection="1">
      <alignment horizontal="center"/>
    </xf>
    <xf numFmtId="10" fontId="131" fillId="3" borderId="0" xfId="123" applyNumberFormat="1" applyFont="1" applyFill="1" applyBorder="1"/>
    <xf numFmtId="0" fontId="15" fillId="0" borderId="0" xfId="0" applyFont="1" applyBorder="1" applyProtection="1"/>
    <xf numFmtId="0" fontId="14" fillId="7" borderId="92" xfId="0" applyFont="1" applyFill="1" applyBorder="1" applyProtection="1"/>
    <xf numFmtId="0" fontId="147" fillId="16" borderId="94" xfId="0" applyFont="1" applyFill="1" applyBorder="1" applyAlignment="1" applyProtection="1">
      <alignment horizontal="left" vertical="center" wrapText="1"/>
    </xf>
    <xf numFmtId="0" fontId="147" fillId="16" borderId="95" xfId="0" applyFont="1" applyFill="1" applyBorder="1" applyAlignment="1" applyProtection="1">
      <alignment horizontal="left" vertical="center" wrapText="1"/>
    </xf>
    <xf numFmtId="0" fontId="147" fillId="16" borderId="96" xfId="0" applyFont="1" applyFill="1" applyBorder="1" applyAlignment="1" applyProtection="1">
      <alignment horizontal="left" vertical="center" wrapText="1"/>
    </xf>
    <xf numFmtId="0" fontId="43" fillId="2" borderId="93" xfId="0" applyFont="1" applyFill="1" applyBorder="1" applyAlignment="1" applyProtection="1">
      <alignment horizontal="left" vertical="center" wrapText="1"/>
    </xf>
    <xf numFmtId="0" fontId="43" fillId="2" borderId="93" xfId="0" applyFont="1" applyFill="1" applyBorder="1" applyAlignment="1" applyProtection="1">
      <alignment horizontal="left" vertical="center"/>
    </xf>
    <xf numFmtId="0" fontId="42" fillId="7" borderId="97" xfId="0" applyFont="1" applyFill="1" applyBorder="1" applyAlignment="1" applyProtection="1">
      <alignment horizontal="center" vertical="center" wrapText="1"/>
    </xf>
    <xf numFmtId="0" fontId="14" fillId="0" borderId="93" xfId="0" applyFont="1" applyBorder="1" applyAlignment="1" applyProtection="1">
      <alignment horizontal="center"/>
    </xf>
    <xf numFmtId="0" fontId="149" fillId="28" borderId="93" xfId="0" applyFont="1" applyFill="1" applyBorder="1" applyAlignment="1" applyProtection="1">
      <alignment horizontal="center" vertical="center" wrapText="1"/>
    </xf>
    <xf numFmtId="0" fontId="14" fillId="0" borderId="93" xfId="0" applyFont="1" applyBorder="1" applyProtection="1"/>
    <xf numFmtId="9" fontId="14" fillId="0" borderId="93" xfId="0" applyNumberFormat="1" applyFont="1" applyBorder="1" applyAlignment="1" applyProtection="1">
      <alignment horizontal="center"/>
    </xf>
    <xf numFmtId="0" fontId="148" fillId="16" borderId="101" xfId="0" applyFont="1" applyFill="1" applyBorder="1" applyAlignment="1" applyProtection="1">
      <alignment vertical="center" wrapText="1"/>
    </xf>
    <xf numFmtId="0" fontId="43" fillId="2" borderId="93" xfId="0" applyFont="1" applyFill="1" applyBorder="1" applyAlignment="1" applyProtection="1">
      <alignment horizontal="left" vertical="center" wrapText="1" indent="1"/>
    </xf>
    <xf numFmtId="0" fontId="43" fillId="2" borderId="93" xfId="61" applyFont="1" applyFill="1" applyBorder="1" applyAlignment="1" applyProtection="1">
      <alignment horizontal="left" vertical="center" wrapText="1" indent="1"/>
    </xf>
    <xf numFmtId="0" fontId="43" fillId="2" borderId="93" xfId="0" applyFont="1" applyFill="1" applyBorder="1" applyAlignment="1" applyProtection="1">
      <alignment vertical="center"/>
    </xf>
    <xf numFmtId="0" fontId="148" fillId="16" borderId="93" xfId="0" applyFont="1" applyFill="1" applyBorder="1" applyAlignment="1" applyProtection="1">
      <alignment vertical="center" wrapText="1"/>
    </xf>
    <xf numFmtId="0" fontId="43" fillId="2" borderId="0" xfId="0" applyFont="1" applyFill="1" applyBorder="1" applyAlignment="1" applyProtection="1">
      <alignment vertical="center"/>
    </xf>
    <xf numFmtId="0" fontId="43" fillId="2" borderId="0" xfId="61" applyFont="1" applyFill="1" applyBorder="1" applyAlignment="1" applyProtection="1">
      <alignment horizontal="left" vertical="center" wrapText="1" indent="1"/>
    </xf>
    <xf numFmtId="172" fontId="14" fillId="0" borderId="93" xfId="9" applyNumberFormat="1" applyFont="1" applyBorder="1" applyAlignment="1" applyProtection="1">
      <alignment horizontal="center"/>
    </xf>
    <xf numFmtId="0" fontId="149" fillId="28" borderId="104" xfId="0" applyFont="1" applyFill="1" applyBorder="1" applyAlignment="1" applyProtection="1">
      <alignment horizontal="center" vertical="center" wrapText="1"/>
    </xf>
    <xf numFmtId="0" fontId="149" fillId="28" borderId="105" xfId="0" applyFont="1" applyFill="1" applyBorder="1" applyAlignment="1" applyProtection="1">
      <alignment horizontal="center" vertical="center" wrapText="1"/>
    </xf>
    <xf numFmtId="0" fontId="14" fillId="0" borderId="106" xfId="0" applyFont="1" applyBorder="1" applyProtection="1"/>
    <xf numFmtId="0" fontId="14" fillId="0" borderId="107" xfId="0" applyFont="1" applyBorder="1" applyProtection="1">
      <protection locked="0"/>
    </xf>
    <xf numFmtId="0" fontId="14" fillId="0" borderId="107" xfId="0" applyFont="1" applyBorder="1" applyProtection="1"/>
    <xf numFmtId="0" fontId="14" fillId="0" borderId="108" xfId="0" applyFont="1" applyBorder="1" applyProtection="1"/>
    <xf numFmtId="0" fontId="14" fillId="0" borderId="109" xfId="0" applyFont="1" applyBorder="1" applyProtection="1"/>
    <xf numFmtId="0" fontId="14" fillId="15" borderId="107" xfId="0" applyFont="1" applyFill="1" applyBorder="1" applyAlignment="1" applyProtection="1">
      <alignment horizontal="center"/>
      <protection locked="0"/>
    </xf>
    <xf numFmtId="0" fontId="147" fillId="16" borderId="107" xfId="0" applyFont="1" applyFill="1" applyBorder="1" applyAlignment="1" applyProtection="1">
      <alignment horizontal="left" vertical="center" wrapText="1" indent="1"/>
    </xf>
    <xf numFmtId="0" fontId="14" fillId="7" borderId="107" xfId="0" applyFont="1" applyFill="1" applyBorder="1" applyAlignment="1" applyProtection="1">
      <alignment horizontal="center"/>
    </xf>
    <xf numFmtId="0" fontId="14" fillId="0" borderId="111" xfId="0" applyFont="1" applyBorder="1" applyProtection="1"/>
    <xf numFmtId="0" fontId="14" fillId="0" borderId="112" xfId="0" applyFont="1" applyBorder="1" applyProtection="1"/>
    <xf numFmtId="0" fontId="86" fillId="29" borderId="8" xfId="46" applyFont="1" applyFill="1" applyBorder="1" applyAlignment="1">
      <alignment horizontal="center" vertical="center"/>
    </xf>
    <xf numFmtId="0" fontId="86" fillId="29" borderId="110" xfId="46" applyFont="1" applyFill="1" applyBorder="1" applyAlignment="1">
      <alignment horizontal="center" vertical="center"/>
    </xf>
    <xf numFmtId="0" fontId="86" fillId="29" borderId="113" xfId="46" applyFont="1" applyFill="1" applyBorder="1" applyAlignment="1">
      <alignment horizontal="center" vertical="center"/>
    </xf>
    <xf numFmtId="10" fontId="150" fillId="30" borderId="114" xfId="123" applyNumberFormat="1" applyFont="1" applyFill="1" applyBorder="1" applyAlignment="1">
      <alignment horizontal="center"/>
    </xf>
    <xf numFmtId="10" fontId="150" fillId="30" borderId="115" xfId="123" applyNumberFormat="1" applyFont="1" applyFill="1" applyBorder="1" applyAlignment="1">
      <alignment horizontal="center"/>
    </xf>
    <xf numFmtId="10" fontId="150" fillId="30" borderId="116" xfId="123" applyNumberFormat="1" applyFont="1" applyFill="1" applyBorder="1" applyAlignment="1">
      <alignment horizontal="center"/>
    </xf>
    <xf numFmtId="0" fontId="129" fillId="3" borderId="117" xfId="124" applyFont="1" applyFill="1" applyBorder="1" applyAlignment="1">
      <alignment horizontal="center"/>
    </xf>
    <xf numFmtId="0" fontId="129" fillId="6" borderId="118" xfId="124" applyFont="1" applyFill="1" applyBorder="1" applyAlignment="1">
      <alignment horizontal="center"/>
    </xf>
    <xf numFmtId="166" fontId="14" fillId="0" borderId="0" xfId="0" applyNumberFormat="1" applyFont="1" applyProtection="1"/>
    <xf numFmtId="166" fontId="96" fillId="15" borderId="0" xfId="3" applyFont="1" applyFill="1" applyBorder="1" applyAlignment="1" applyProtection="1">
      <alignment vertical="center"/>
    </xf>
    <xf numFmtId="4" fontId="103" fillId="15" borderId="0" xfId="3" applyNumberFormat="1" applyFont="1" applyFill="1" applyBorder="1" applyAlignment="1" applyProtection="1">
      <alignment horizontal="center" vertical="center"/>
      <protection hidden="1"/>
    </xf>
    <xf numFmtId="166" fontId="77" fillId="15" borderId="0" xfId="3" applyFont="1" applyFill="1" applyBorder="1" applyAlignment="1" applyProtection="1">
      <alignment horizontal="left"/>
    </xf>
    <xf numFmtId="166" fontId="96" fillId="15" borderId="0" xfId="3" applyFont="1" applyFill="1" applyBorder="1" applyAlignment="1" applyProtection="1">
      <alignment horizontal="left"/>
    </xf>
    <xf numFmtId="166" fontId="41" fillId="15" borderId="0" xfId="3" applyFont="1" applyFill="1" applyBorder="1" applyAlignment="1" applyProtection="1">
      <alignment horizontal="left"/>
    </xf>
    <xf numFmtId="0" fontId="95" fillId="15" borderId="0" xfId="0" applyFont="1" applyFill="1" applyBorder="1" applyAlignment="1" applyProtection="1">
      <alignment horizontal="left"/>
    </xf>
    <xf numFmtId="0" fontId="66" fillId="0" borderId="0" xfId="0" applyFont="1" applyFill="1" applyBorder="1" applyAlignment="1" applyProtection="1">
      <alignment horizontal="left"/>
      <protection hidden="1"/>
    </xf>
    <xf numFmtId="0" fontId="93" fillId="15" borderId="0" xfId="0" applyFont="1" applyFill="1" applyBorder="1" applyAlignment="1" applyProtection="1">
      <alignment vertical="center"/>
    </xf>
    <xf numFmtId="180" fontId="153" fillId="15" borderId="0" xfId="111" applyNumberFormat="1" applyFont="1" applyFill="1" applyBorder="1" applyAlignment="1" applyProtection="1">
      <alignment horizontal="center" vertical="center"/>
      <protection hidden="1"/>
    </xf>
    <xf numFmtId="9" fontId="53" fillId="2" borderId="93" xfId="0" applyNumberFormat="1" applyFont="1" applyFill="1" applyBorder="1" applyAlignment="1" applyProtection="1">
      <alignment horizontal="center" vertical="center" wrapText="1"/>
      <protection locked="0"/>
    </xf>
    <xf numFmtId="9" fontId="53" fillId="15" borderId="93" xfId="0" applyNumberFormat="1" applyFont="1" applyFill="1" applyBorder="1" applyAlignment="1" applyProtection="1">
      <alignment horizontal="center" vertical="center" wrapText="1"/>
      <protection locked="0"/>
    </xf>
    <xf numFmtId="9" fontId="53" fillId="0" borderId="93" xfId="0" applyNumberFormat="1" applyFont="1" applyFill="1" applyBorder="1" applyAlignment="1" applyProtection="1">
      <alignment horizontal="center" vertical="center" wrapText="1"/>
      <protection locked="0"/>
    </xf>
    <xf numFmtId="0" fontId="53" fillId="2" borderId="93" xfId="0" applyFont="1" applyFill="1" applyBorder="1" applyAlignment="1" applyProtection="1">
      <alignment horizontal="left" vertical="center"/>
      <protection locked="0"/>
    </xf>
    <xf numFmtId="0" fontId="154" fillId="15" borderId="0" xfId="0" applyFont="1" applyFill="1" applyBorder="1" applyAlignment="1" applyProtection="1">
      <alignment vertical="center"/>
    </xf>
    <xf numFmtId="0" fontId="133" fillId="3" borderId="0" xfId="0" applyFont="1" applyFill="1" applyBorder="1" applyAlignment="1" applyProtection="1">
      <alignment horizontal="center" vertical="center" wrapText="1"/>
    </xf>
    <xf numFmtId="0" fontId="122" fillId="0" borderId="0" xfId="45" applyFont="1" applyBorder="1" applyAlignment="1" applyProtection="1">
      <alignment horizontal="left"/>
      <protection locked="0"/>
    </xf>
    <xf numFmtId="0" fontId="122" fillId="0" borderId="0" xfId="45" applyFont="1" applyBorder="1" applyAlignment="1" applyProtection="1"/>
    <xf numFmtId="0" fontId="122" fillId="0" borderId="0" xfId="45" applyFont="1" applyBorder="1" applyAlignment="1" applyProtection="1">
      <alignment horizontal="left" indent="1"/>
    </xf>
    <xf numFmtId="0" fontId="122" fillId="0" borderId="0" xfId="45" applyFont="1" applyAlignment="1" applyProtection="1">
      <alignment horizontal="left" indent="1"/>
      <protection locked="0"/>
    </xf>
    <xf numFmtId="165" fontId="122" fillId="0" borderId="0" xfId="45" applyNumberFormat="1" applyFont="1" applyBorder="1" applyAlignment="1" applyProtection="1">
      <alignment horizontal="left" indent="1"/>
      <protection locked="0"/>
    </xf>
    <xf numFmtId="165" fontId="122" fillId="0" borderId="0" xfId="45" applyNumberFormat="1" applyFont="1" applyBorder="1" applyAlignment="1" applyProtection="1"/>
    <xf numFmtId="0" fontId="137" fillId="3" borderId="0" xfId="0" applyFont="1" applyFill="1" applyBorder="1" applyAlignment="1" applyProtection="1">
      <alignment horizontal="center"/>
      <protection locked="0"/>
    </xf>
    <xf numFmtId="1" fontId="155" fillId="0" borderId="129" xfId="85" applyNumberFormat="1" applyFont="1" applyBorder="1" applyAlignment="1" applyProtection="1">
      <alignment horizontal="center"/>
      <protection locked="0"/>
    </xf>
    <xf numFmtId="1" fontId="155" fillId="0" borderId="130" xfId="85" applyNumberFormat="1" applyFont="1" applyBorder="1" applyAlignment="1" applyProtection="1">
      <alignment horizontal="center"/>
      <protection locked="0"/>
    </xf>
    <xf numFmtId="1" fontId="155" fillId="0" borderId="134" xfId="85" applyNumberFormat="1" applyFont="1" applyBorder="1" applyAlignment="1" applyProtection="1">
      <alignment horizontal="center"/>
      <protection locked="0"/>
    </xf>
    <xf numFmtId="0" fontId="156" fillId="16" borderId="122" xfId="83" applyFont="1" applyFill="1" applyBorder="1" applyAlignment="1">
      <alignment horizontal="center" vertical="center"/>
    </xf>
    <xf numFmtId="0" fontId="158" fillId="15" borderId="0" xfId="0" applyFont="1" applyFill="1" applyBorder="1" applyAlignment="1" applyProtection="1"/>
    <xf numFmtId="0" fontId="59" fillId="5" borderId="0" xfId="45" applyFont="1" applyFill="1" applyProtection="1">
      <protection locked="0"/>
    </xf>
    <xf numFmtId="0" fontId="59" fillId="0" borderId="0" xfId="45" applyFont="1" applyFill="1" applyBorder="1" applyProtection="1">
      <protection locked="0"/>
    </xf>
    <xf numFmtId="0" fontId="59" fillId="0" borderId="0" xfId="45" applyFont="1" applyBorder="1" applyProtection="1">
      <protection locked="0"/>
    </xf>
    <xf numFmtId="0" fontId="59" fillId="0" borderId="0" xfId="45" applyFont="1" applyProtection="1">
      <protection locked="0"/>
    </xf>
    <xf numFmtId="0" fontId="164" fillId="0" borderId="0" xfId="45" applyFont="1" applyFill="1" applyBorder="1" applyProtection="1">
      <protection locked="0"/>
    </xf>
    <xf numFmtId="0" fontId="123" fillId="0" borderId="0" xfId="45" applyFont="1" applyBorder="1" applyProtection="1"/>
    <xf numFmtId="0" fontId="159" fillId="0" borderId="0" xfId="45" applyFont="1" applyBorder="1" applyProtection="1"/>
    <xf numFmtId="0" fontId="138" fillId="3" borderId="0" xfId="0" applyFont="1" applyFill="1" applyBorder="1" applyAlignment="1" applyProtection="1">
      <protection locked="0"/>
    </xf>
    <xf numFmtId="0" fontId="122" fillId="0" borderId="0" xfId="45" applyFont="1" applyBorder="1" applyAlignment="1" applyProtection="1">
      <alignment horizontal="left"/>
      <protection locked="0"/>
    </xf>
    <xf numFmtId="166" fontId="145" fillId="3" borderId="0" xfId="3" applyFont="1" applyFill="1" applyBorder="1" applyProtection="1">
      <protection hidden="1"/>
    </xf>
    <xf numFmtId="0" fontId="0" fillId="3" borderId="0" xfId="0" applyFill="1" applyBorder="1" applyProtection="1">
      <protection hidden="1"/>
    </xf>
    <xf numFmtId="166" fontId="165" fillId="3" borderId="0" xfId="3" applyFont="1" applyFill="1" applyBorder="1" applyProtection="1">
      <protection hidden="1"/>
    </xf>
    <xf numFmtId="166" fontId="14" fillId="0" borderId="0" xfId="3" applyFont="1" applyProtection="1"/>
    <xf numFmtId="0" fontId="168" fillId="15" borderId="0" xfId="0" applyFont="1" applyFill="1" applyBorder="1" applyAlignment="1" applyProtection="1">
      <alignment horizontal="center" vertical="center"/>
    </xf>
    <xf numFmtId="0" fontId="164" fillId="0" borderId="0" xfId="45" applyFont="1" applyBorder="1" applyAlignment="1" applyProtection="1"/>
    <xf numFmtId="165" fontId="160" fillId="0" borderId="0" xfId="9" applyFont="1" applyFill="1" applyBorder="1" applyAlignment="1" applyProtection="1">
      <alignment horizontal="center" vertical="center"/>
    </xf>
    <xf numFmtId="0" fontId="137" fillId="3" borderId="85" xfId="0" applyFont="1" applyFill="1" applyBorder="1" applyAlignment="1" applyProtection="1">
      <protection locked="0"/>
    </xf>
    <xf numFmtId="0" fontId="136" fillId="3" borderId="85" xfId="0" applyFont="1" applyFill="1" applyBorder="1" applyAlignment="1" applyProtection="1">
      <protection locked="0"/>
    </xf>
    <xf numFmtId="0" fontId="137" fillId="3" borderId="30" xfId="0" applyFont="1" applyFill="1" applyBorder="1" applyAlignment="1" applyProtection="1">
      <alignment horizontal="left"/>
      <protection locked="0"/>
    </xf>
    <xf numFmtId="1" fontId="155" fillId="0" borderId="123" xfId="85" applyNumberFormat="1" applyFont="1" applyBorder="1" applyAlignment="1" applyProtection="1">
      <alignment horizontal="center"/>
      <protection locked="0"/>
    </xf>
    <xf numFmtId="1" fontId="155" fillId="0" borderId="23" xfId="85" applyNumberFormat="1" applyFont="1" applyBorder="1" applyAlignment="1" applyProtection="1">
      <alignment horizontal="center"/>
      <protection locked="0"/>
    </xf>
    <xf numFmtId="1" fontId="155" fillId="0" borderId="121" xfId="85" applyNumberFormat="1" applyFont="1" applyBorder="1" applyAlignment="1" applyProtection="1">
      <alignment horizontal="center"/>
      <protection locked="0"/>
    </xf>
    <xf numFmtId="166" fontId="155" fillId="21" borderId="123" xfId="3" applyFont="1" applyFill="1" applyBorder="1" applyAlignment="1" applyProtection="1">
      <alignment horizontal="center"/>
      <protection hidden="1"/>
    </xf>
    <xf numFmtId="166" fontId="155" fillId="21" borderId="124" xfId="3" applyFont="1" applyFill="1" applyBorder="1" applyAlignment="1" applyProtection="1">
      <alignment horizontal="center"/>
      <protection hidden="1"/>
    </xf>
    <xf numFmtId="165" fontId="155" fillId="21" borderId="123" xfId="9" applyFont="1" applyFill="1" applyBorder="1" applyAlignment="1" applyProtection="1">
      <alignment horizontal="center"/>
      <protection hidden="1"/>
    </xf>
    <xf numFmtId="165" fontId="155" fillId="21" borderId="23" xfId="9" applyFont="1" applyFill="1" applyBorder="1" applyAlignment="1" applyProtection="1">
      <alignment horizontal="center"/>
      <protection hidden="1"/>
    </xf>
    <xf numFmtId="165" fontId="155" fillId="21" borderId="124" xfId="9" applyFont="1" applyFill="1" applyBorder="1" applyAlignment="1" applyProtection="1">
      <alignment horizontal="center"/>
      <protection hidden="1"/>
    </xf>
    <xf numFmtId="0" fontId="138" fillId="3" borderId="0" xfId="0" applyFont="1" applyFill="1" applyBorder="1" applyAlignment="1" applyProtection="1">
      <protection locked="0"/>
    </xf>
    <xf numFmtId="166" fontId="64" fillId="12" borderId="0" xfId="6" applyFont="1" applyFill="1" applyBorder="1" applyAlignment="1" applyProtection="1">
      <alignment horizontal="center"/>
    </xf>
    <xf numFmtId="177" fontId="64" fillId="12" borderId="32" xfId="9" applyNumberFormat="1" applyFont="1" applyFill="1" applyBorder="1" applyAlignment="1" applyProtection="1">
      <alignment horizontal="center" vertical="center"/>
      <protection hidden="1"/>
    </xf>
    <xf numFmtId="10" fontId="69" fillId="3" borderId="32" xfId="24" applyNumberFormat="1" applyFont="1" applyFill="1" applyBorder="1" applyAlignment="1" applyProtection="1">
      <alignment horizontal="center" vertical="center"/>
      <protection locked="0"/>
    </xf>
    <xf numFmtId="166" fontId="77" fillId="15" borderId="0" xfId="3" applyFont="1" applyFill="1" applyBorder="1" applyAlignment="1" applyProtection="1"/>
    <xf numFmtId="0" fontId="76" fillId="15" borderId="0" xfId="0" applyFont="1" applyFill="1" applyBorder="1" applyAlignment="1" applyProtection="1"/>
    <xf numFmtId="10" fontId="64" fillId="12" borderId="32" xfId="24" applyNumberFormat="1" applyFont="1" applyFill="1" applyBorder="1" applyAlignment="1" applyProtection="1">
      <alignment horizontal="center" vertical="center"/>
      <protection hidden="1"/>
    </xf>
    <xf numFmtId="166" fontId="96" fillId="15" borderId="0" xfId="3" applyFont="1" applyFill="1" applyBorder="1" applyAlignment="1" applyProtection="1">
      <alignment horizontal="right"/>
    </xf>
    <xf numFmtId="0" fontId="96" fillId="15" borderId="0" xfId="0" applyFont="1" applyFill="1" applyBorder="1" applyAlignment="1" applyProtection="1">
      <alignment horizontal="right"/>
    </xf>
    <xf numFmtId="166" fontId="91" fillId="3" borderId="131" xfId="3" applyFont="1" applyFill="1" applyBorder="1" applyAlignment="1" applyProtection="1">
      <protection hidden="1"/>
    </xf>
    <xf numFmtId="166" fontId="91" fillId="3" borderId="132" xfId="3" applyFont="1" applyFill="1" applyBorder="1" applyAlignment="1" applyProtection="1">
      <protection hidden="1"/>
    </xf>
    <xf numFmtId="166" fontId="91" fillId="3" borderId="133" xfId="3" applyFont="1" applyFill="1" applyBorder="1" applyAlignment="1" applyProtection="1">
      <protection hidden="1"/>
    </xf>
    <xf numFmtId="166" fontId="146" fillId="26" borderId="88" xfId="6" applyFont="1" applyFill="1" applyBorder="1" applyAlignment="1" applyProtection="1">
      <alignment horizontal="center"/>
      <protection hidden="1"/>
    </xf>
    <xf numFmtId="1" fontId="62" fillId="7" borderId="83" xfId="6" applyNumberFormat="1" applyFont="1" applyFill="1" applyBorder="1" applyAlignment="1" applyProtection="1">
      <alignment horizontal="center"/>
      <protection hidden="1"/>
    </xf>
    <xf numFmtId="1" fontId="62" fillId="7" borderId="6" xfId="6" applyNumberFormat="1" applyFont="1" applyFill="1" applyBorder="1" applyAlignment="1" applyProtection="1">
      <alignment horizontal="center"/>
      <protection hidden="1"/>
    </xf>
    <xf numFmtId="1" fontId="62" fillId="7" borderId="84" xfId="6" applyNumberFormat="1" applyFont="1" applyFill="1" applyBorder="1" applyAlignment="1" applyProtection="1">
      <alignment horizontal="center"/>
      <protection hidden="1"/>
    </xf>
    <xf numFmtId="0" fontId="135" fillId="3" borderId="0" xfId="0" applyFont="1" applyFill="1" applyBorder="1" applyAlignment="1" applyProtection="1">
      <alignment horizontal="center" vertical="center" wrapText="1"/>
    </xf>
    <xf numFmtId="0" fontId="133" fillId="3" borderId="0" xfId="0" applyFont="1" applyFill="1" applyBorder="1" applyAlignment="1" applyProtection="1">
      <alignment horizontal="center" vertical="center" wrapText="1"/>
    </xf>
    <xf numFmtId="165" fontId="90" fillId="3" borderId="13" xfId="9" applyFont="1" applyFill="1" applyBorder="1" applyAlignment="1" applyProtection="1">
      <alignment horizontal="center"/>
      <protection hidden="1"/>
    </xf>
    <xf numFmtId="165" fontId="90" fillId="3" borderId="31" xfId="9" applyFont="1" applyFill="1" applyBorder="1" applyAlignment="1" applyProtection="1">
      <alignment horizontal="center"/>
      <protection hidden="1"/>
    </xf>
    <xf numFmtId="165" fontId="90" fillId="3" borderId="14" xfId="9" applyFont="1" applyFill="1" applyBorder="1" applyAlignment="1" applyProtection="1">
      <alignment horizontal="center"/>
      <protection hidden="1"/>
    </xf>
    <xf numFmtId="0" fontId="144" fillId="16" borderId="0" xfId="0" applyFont="1" applyFill="1" applyBorder="1" applyAlignment="1" applyProtection="1">
      <alignment horizontal="center" vertical="center" wrapText="1"/>
    </xf>
    <xf numFmtId="0" fontId="144" fillId="16" borderId="120" xfId="0" applyFont="1" applyFill="1" applyBorder="1" applyAlignment="1" applyProtection="1">
      <alignment horizontal="center" vertical="center" wrapText="1"/>
    </xf>
    <xf numFmtId="1" fontId="62" fillId="7" borderId="9" xfId="6" applyNumberFormat="1" applyFont="1" applyFill="1" applyBorder="1" applyAlignment="1" applyProtection="1">
      <alignment horizontal="center"/>
      <protection hidden="1"/>
    </xf>
    <xf numFmtId="0" fontId="157" fillId="16" borderId="131" xfId="83" applyFont="1" applyFill="1" applyBorder="1" applyAlignment="1">
      <alignment horizontal="center" vertical="center"/>
    </xf>
    <xf numFmtId="0" fontId="157" fillId="16" borderId="132" xfId="83" applyFont="1" applyFill="1" applyBorder="1" applyAlignment="1">
      <alignment horizontal="center" vertical="center"/>
    </xf>
    <xf numFmtId="0" fontId="157" fillId="16" borderId="133" xfId="83" applyFont="1" applyFill="1" applyBorder="1" applyAlignment="1">
      <alignment horizontal="center" vertical="center"/>
    </xf>
    <xf numFmtId="165" fontId="155" fillId="21" borderId="135" xfId="9" applyFont="1" applyFill="1" applyBorder="1" applyAlignment="1" applyProtection="1">
      <alignment horizontal="center"/>
      <protection hidden="1"/>
    </xf>
    <xf numFmtId="165" fontId="155" fillId="21" borderId="136" xfId="9" applyFont="1" applyFill="1" applyBorder="1" applyAlignment="1" applyProtection="1">
      <alignment horizontal="center"/>
      <protection hidden="1"/>
    </xf>
    <xf numFmtId="165" fontId="155" fillId="21" borderId="138" xfId="9" applyFont="1" applyFill="1" applyBorder="1" applyAlignment="1" applyProtection="1">
      <alignment horizontal="center"/>
      <protection hidden="1"/>
    </xf>
    <xf numFmtId="1" fontId="155" fillId="0" borderId="135" xfId="85" applyNumberFormat="1" applyFont="1" applyBorder="1" applyAlignment="1" applyProtection="1">
      <alignment horizontal="center"/>
      <protection locked="0"/>
    </xf>
    <xf numFmtId="1" fontId="155" fillId="0" borderId="136" xfId="85" applyNumberFormat="1" applyFont="1" applyBorder="1" applyAlignment="1" applyProtection="1">
      <alignment horizontal="center"/>
      <protection locked="0"/>
    </xf>
    <xf numFmtId="1" fontId="155" fillId="0" borderId="137" xfId="85" applyNumberFormat="1" applyFont="1" applyBorder="1" applyAlignment="1" applyProtection="1">
      <alignment horizontal="center"/>
      <protection locked="0"/>
    </xf>
    <xf numFmtId="166" fontId="155" fillId="21" borderId="135" xfId="3" applyFont="1" applyFill="1" applyBorder="1" applyAlignment="1" applyProtection="1">
      <alignment horizontal="center"/>
      <protection hidden="1"/>
    </xf>
    <xf numFmtId="166" fontId="155" fillId="21" borderId="138" xfId="3" applyFont="1" applyFill="1" applyBorder="1" applyAlignment="1" applyProtection="1">
      <alignment horizontal="center"/>
      <protection hidden="1"/>
    </xf>
    <xf numFmtId="1" fontId="155" fillId="0" borderId="125" xfId="85" applyNumberFormat="1" applyFont="1" applyBorder="1" applyAlignment="1" applyProtection="1">
      <alignment horizontal="center"/>
      <protection locked="0"/>
    </xf>
    <xf numFmtId="1" fontId="155" fillId="0" borderId="126" xfId="85" applyNumberFormat="1" applyFont="1" applyBorder="1" applyAlignment="1" applyProtection="1">
      <alignment horizontal="center"/>
      <protection locked="0"/>
    </xf>
    <xf numFmtId="1" fontId="155" fillId="0" borderId="128" xfId="85" applyNumberFormat="1" applyFont="1" applyBorder="1" applyAlignment="1" applyProtection="1">
      <alignment horizontal="center"/>
      <protection locked="0"/>
    </xf>
    <xf numFmtId="166" fontId="155" fillId="21" borderId="125" xfId="3" applyFont="1" applyFill="1" applyBorder="1" applyAlignment="1" applyProtection="1">
      <alignment horizontal="center"/>
      <protection hidden="1"/>
    </xf>
    <xf numFmtId="166" fontId="155" fillId="21" borderId="127" xfId="3" applyFont="1" applyFill="1" applyBorder="1" applyAlignment="1" applyProtection="1">
      <alignment horizontal="center"/>
      <protection hidden="1"/>
    </xf>
    <xf numFmtId="165" fontId="155" fillId="21" borderId="125" xfId="9" applyFont="1" applyFill="1" applyBorder="1" applyAlignment="1" applyProtection="1">
      <alignment horizontal="center"/>
      <protection hidden="1"/>
    </xf>
    <xf numFmtId="165" fontId="155" fillId="21" borderId="126" xfId="9" applyFont="1" applyFill="1" applyBorder="1" applyAlignment="1" applyProtection="1">
      <alignment horizontal="center"/>
      <protection hidden="1"/>
    </xf>
    <xf numFmtId="165" fontId="155" fillId="21" borderId="127" xfId="9" applyFont="1" applyFill="1" applyBorder="1" applyAlignment="1" applyProtection="1">
      <alignment horizontal="center"/>
      <protection hidden="1"/>
    </xf>
    <xf numFmtId="165" fontId="166" fillId="3" borderId="144" xfId="9" applyFont="1" applyFill="1" applyBorder="1" applyAlignment="1" applyProtection="1">
      <alignment horizontal="center"/>
      <protection locked="0"/>
    </xf>
    <xf numFmtId="0" fontId="94" fillId="16" borderId="0" xfId="0" applyFont="1" applyFill="1" applyAlignment="1" applyProtection="1">
      <alignment horizontal="center"/>
    </xf>
    <xf numFmtId="166" fontId="107" fillId="3" borderId="10" xfId="6" applyFont="1" applyFill="1" applyBorder="1" applyAlignment="1" applyProtection="1">
      <alignment horizontal="center"/>
      <protection hidden="1"/>
    </xf>
    <xf numFmtId="166" fontId="107" fillId="3" borderId="86" xfId="6" applyFont="1" applyFill="1" applyBorder="1" applyAlignment="1" applyProtection="1">
      <alignment horizontal="center"/>
      <protection hidden="1"/>
    </xf>
    <xf numFmtId="0" fontId="107" fillId="3" borderId="11" xfId="0" applyFont="1" applyFill="1" applyBorder="1" applyAlignment="1" applyProtection="1">
      <alignment horizontal="center"/>
      <protection hidden="1"/>
    </xf>
    <xf numFmtId="165" fontId="90" fillId="14" borderId="13" xfId="9" applyFont="1" applyFill="1" applyBorder="1" applyAlignment="1" applyProtection="1">
      <protection hidden="1"/>
    </xf>
    <xf numFmtId="165" fontId="90" fillId="14" borderId="31" xfId="9" applyFont="1" applyFill="1" applyBorder="1" applyAlignment="1" applyProtection="1">
      <protection hidden="1"/>
    </xf>
    <xf numFmtId="165" fontId="90" fillId="14" borderId="14" xfId="9" applyFont="1" applyFill="1" applyBorder="1" applyAlignment="1" applyProtection="1">
      <protection hidden="1"/>
    </xf>
    <xf numFmtId="166" fontId="77" fillId="15" borderId="0" xfId="3" applyFont="1" applyFill="1" applyBorder="1" applyAlignment="1" applyProtection="1">
      <alignment horizontal="left"/>
    </xf>
    <xf numFmtId="166" fontId="77" fillId="15" borderId="119" xfId="3" applyFont="1" applyFill="1" applyBorder="1" applyAlignment="1" applyProtection="1">
      <alignment horizontal="left"/>
    </xf>
    <xf numFmtId="0" fontId="76" fillId="15" borderId="0" xfId="0" applyFont="1" applyFill="1" applyBorder="1" applyAlignment="1" applyProtection="1">
      <alignment horizontal="left"/>
    </xf>
    <xf numFmtId="4" fontId="106" fillId="0" borderId="32" xfId="3" applyNumberFormat="1" applyFont="1" applyFill="1" applyBorder="1" applyAlignment="1" applyProtection="1">
      <alignment horizontal="center" vertical="center"/>
      <protection hidden="1"/>
    </xf>
    <xf numFmtId="10" fontId="106" fillId="0" borderId="32" xfId="24" applyNumberFormat="1" applyFont="1" applyFill="1" applyBorder="1" applyAlignment="1" applyProtection="1">
      <alignment horizontal="center" vertical="center"/>
      <protection hidden="1"/>
    </xf>
    <xf numFmtId="10" fontId="102" fillId="3" borderId="33" xfId="24" applyNumberFormat="1" applyFont="1" applyFill="1" applyBorder="1" applyAlignment="1" applyProtection="1">
      <alignment horizontal="center" vertical="center"/>
      <protection locked="0"/>
    </xf>
    <xf numFmtId="10" fontId="102" fillId="3" borderId="87" xfId="24" applyNumberFormat="1" applyFont="1" applyFill="1" applyBorder="1" applyAlignment="1" applyProtection="1">
      <alignment horizontal="center" vertical="center"/>
      <protection locked="0"/>
    </xf>
    <xf numFmtId="10" fontId="102" fillId="3" borderId="34" xfId="24" applyNumberFormat="1" applyFont="1" applyFill="1" applyBorder="1" applyAlignment="1" applyProtection="1">
      <alignment horizontal="center" vertical="center"/>
      <protection locked="0"/>
    </xf>
    <xf numFmtId="177" fontId="64" fillId="23" borderId="32" xfId="6" applyNumberFormat="1" applyFont="1" applyFill="1" applyBorder="1" applyAlignment="1" applyProtection="1">
      <alignment horizontal="center" vertical="center"/>
      <protection locked="0"/>
    </xf>
    <xf numFmtId="10" fontId="69" fillId="12" borderId="32" xfId="24" applyNumberFormat="1" applyFont="1" applyFill="1" applyBorder="1" applyAlignment="1" applyProtection="1">
      <alignment horizontal="center" vertical="center"/>
      <protection hidden="1"/>
    </xf>
    <xf numFmtId="0" fontId="96" fillId="15" borderId="0" xfId="0" applyFont="1" applyFill="1" applyBorder="1" applyAlignment="1" applyProtection="1">
      <alignment horizontal="center" vertical="center"/>
    </xf>
    <xf numFmtId="174" fontId="74" fillId="10" borderId="15" xfId="24" applyNumberFormat="1" applyFont="1" applyFill="1" applyBorder="1" applyAlignment="1" applyProtection="1">
      <alignment vertical="center"/>
      <protection hidden="1"/>
    </xf>
    <xf numFmtId="0" fontId="18" fillId="15" borderId="30" xfId="0" applyFont="1" applyFill="1" applyBorder="1" applyAlignment="1" applyProtection="1">
      <alignment horizontal="center"/>
      <protection hidden="1"/>
    </xf>
    <xf numFmtId="3" fontId="64" fillId="25" borderId="32" xfId="3" applyNumberFormat="1" applyFont="1" applyFill="1" applyBorder="1" applyAlignment="1" applyProtection="1">
      <alignment horizontal="center" vertical="center"/>
      <protection locked="0"/>
    </xf>
    <xf numFmtId="166" fontId="64" fillId="12" borderId="32" xfId="6" applyFont="1" applyFill="1" applyBorder="1" applyAlignment="1" applyProtection="1">
      <alignment horizontal="center"/>
    </xf>
    <xf numFmtId="178" fontId="101" fillId="17" borderId="32" xfId="0" applyNumberFormat="1" applyFont="1" applyFill="1" applyBorder="1" applyAlignment="1" applyProtection="1">
      <alignment horizontal="center" vertical="center"/>
      <protection hidden="1"/>
    </xf>
    <xf numFmtId="10" fontId="102" fillId="3" borderId="32" xfId="24" applyNumberFormat="1" applyFont="1" applyFill="1" applyBorder="1" applyAlignment="1" applyProtection="1">
      <alignment horizontal="center" vertical="center"/>
      <protection hidden="1"/>
    </xf>
    <xf numFmtId="166" fontId="64" fillId="12" borderId="32" xfId="6" applyFont="1" applyFill="1" applyBorder="1" applyAlignment="1" applyProtection="1">
      <alignment horizontal="center" vertical="center"/>
    </xf>
    <xf numFmtId="174" fontId="128" fillId="24" borderId="12" xfId="24" applyNumberFormat="1" applyFont="1" applyFill="1" applyBorder="1" applyAlignment="1" applyProtection="1">
      <alignment vertical="center"/>
      <protection hidden="1"/>
    </xf>
    <xf numFmtId="0" fontId="97" fillId="15" borderId="0" xfId="0" applyFont="1" applyFill="1" applyBorder="1" applyAlignment="1" applyProtection="1">
      <alignment horizontal="center"/>
    </xf>
    <xf numFmtId="166" fontId="167" fillId="15" borderId="0" xfId="3" applyFont="1" applyFill="1" applyBorder="1" applyAlignment="1" applyProtection="1">
      <alignment horizontal="right" vertical="center"/>
    </xf>
    <xf numFmtId="0" fontId="158" fillId="15" borderId="0" xfId="24" applyNumberFormat="1" applyFont="1" applyFill="1" applyBorder="1" applyAlignment="1" applyProtection="1">
      <alignment horizontal="center" vertical="center"/>
    </xf>
    <xf numFmtId="10" fontId="106" fillId="18" borderId="32" xfId="24" applyNumberFormat="1" applyFont="1" applyFill="1" applyBorder="1" applyAlignment="1" applyProtection="1">
      <alignment horizontal="center" vertical="center"/>
    </xf>
    <xf numFmtId="10" fontId="102" fillId="3" borderId="32" xfId="24" applyNumberFormat="1" applyFont="1" applyFill="1" applyBorder="1" applyAlignment="1" applyProtection="1">
      <alignment horizontal="center" vertical="center"/>
    </xf>
    <xf numFmtId="166" fontId="96" fillId="15" borderId="0" xfId="3" applyFont="1" applyFill="1" applyBorder="1" applyAlignment="1" applyProtection="1">
      <alignment horizontal="left"/>
    </xf>
    <xf numFmtId="0" fontId="95" fillId="15" borderId="0" xfId="0" applyFont="1" applyFill="1" applyBorder="1" applyAlignment="1" applyProtection="1">
      <alignment horizontal="left"/>
    </xf>
    <xf numFmtId="166" fontId="28" fillId="3" borderId="0" xfId="0" applyNumberFormat="1" applyFont="1" applyFill="1" applyBorder="1" applyAlignment="1" applyProtection="1">
      <alignment horizontal="center" vertical="center" wrapText="1"/>
      <protection hidden="1"/>
    </xf>
    <xf numFmtId="0" fontId="28" fillId="3" borderId="0" xfId="0" applyFont="1" applyFill="1" applyBorder="1" applyAlignment="1" applyProtection="1">
      <alignment horizontal="center" vertical="center" wrapText="1"/>
      <protection hidden="1"/>
    </xf>
    <xf numFmtId="3" fontId="64" fillId="12" borderId="32" xfId="3" applyNumberFormat="1" applyFont="1" applyFill="1" applyBorder="1" applyAlignment="1" applyProtection="1">
      <alignment horizontal="center" vertical="center"/>
      <protection hidden="1"/>
    </xf>
    <xf numFmtId="0" fontId="33" fillId="15" borderId="0" xfId="0" applyFont="1" applyFill="1" applyBorder="1" applyAlignment="1" applyProtection="1">
      <alignment vertical="center"/>
    </xf>
    <xf numFmtId="1" fontId="60" fillId="7" borderId="83" xfId="0" applyNumberFormat="1" applyFont="1" applyFill="1" applyBorder="1" applyAlignment="1" applyProtection="1">
      <alignment horizontal="center"/>
      <protection hidden="1"/>
    </xf>
    <xf numFmtId="1" fontId="60" fillId="7" borderId="6" xfId="0" applyNumberFormat="1" applyFont="1" applyFill="1" applyBorder="1" applyAlignment="1" applyProtection="1">
      <alignment horizontal="center"/>
      <protection hidden="1"/>
    </xf>
    <xf numFmtId="1" fontId="60" fillId="7" borderId="84" xfId="0" applyNumberFormat="1" applyFont="1" applyFill="1" applyBorder="1" applyAlignment="1" applyProtection="1">
      <alignment horizontal="center"/>
      <protection hidden="1"/>
    </xf>
    <xf numFmtId="10" fontId="102" fillId="0" borderId="32" xfId="24" applyNumberFormat="1" applyFont="1" applyFill="1" applyBorder="1" applyAlignment="1" applyProtection="1">
      <alignment horizontal="center" vertical="center"/>
    </xf>
    <xf numFmtId="10" fontId="64" fillId="25" borderId="32" xfId="24" applyNumberFormat="1" applyFont="1" applyFill="1" applyBorder="1" applyAlignment="1" applyProtection="1">
      <alignment horizontal="center" vertical="center"/>
      <protection hidden="1"/>
    </xf>
    <xf numFmtId="10" fontId="106" fillId="0" borderId="33" xfId="24" applyNumberFormat="1" applyFont="1" applyFill="1" applyBorder="1" applyAlignment="1" applyProtection="1">
      <alignment horizontal="center" vertical="center"/>
    </xf>
    <xf numFmtId="10" fontId="106" fillId="0" borderId="87" xfId="24" applyNumberFormat="1" applyFont="1" applyFill="1" applyBorder="1" applyAlignment="1" applyProtection="1">
      <alignment horizontal="center" vertical="center"/>
    </xf>
    <xf numFmtId="10" fontId="106" fillId="0" borderId="34" xfId="24" applyNumberFormat="1" applyFont="1" applyFill="1" applyBorder="1" applyAlignment="1" applyProtection="1">
      <alignment horizontal="center" vertical="center"/>
    </xf>
    <xf numFmtId="10" fontId="106" fillId="0" borderId="32" xfId="24" applyNumberFormat="1" applyFont="1" applyFill="1" applyBorder="1" applyAlignment="1" applyProtection="1">
      <alignment horizontal="center" vertical="center"/>
    </xf>
    <xf numFmtId="0" fontId="106" fillId="0" borderId="32" xfId="0" applyFont="1" applyFill="1" applyBorder="1" applyAlignment="1" applyProtection="1">
      <alignment horizontal="center" vertical="center"/>
    </xf>
    <xf numFmtId="0" fontId="108" fillId="13" borderId="0" xfId="0" applyFont="1" applyFill="1" applyBorder="1" applyAlignment="1" applyProtection="1">
      <alignment horizontal="center" vertical="center" textRotation="90" wrapText="1"/>
    </xf>
    <xf numFmtId="166" fontId="51" fillId="16" borderId="0" xfId="66" applyFont="1" applyFill="1" applyBorder="1" applyAlignment="1" applyProtection="1">
      <alignment horizontal="left"/>
    </xf>
    <xf numFmtId="0" fontId="52" fillId="16" borderId="0" xfId="45" applyFont="1" applyFill="1" applyBorder="1" applyAlignment="1" applyProtection="1">
      <alignment horizontal="left"/>
    </xf>
    <xf numFmtId="0" fontId="18" fillId="15" borderId="30" xfId="0" applyFont="1" applyFill="1" applyBorder="1" applyAlignment="1" applyProtection="1">
      <alignment horizontal="center"/>
    </xf>
    <xf numFmtId="0" fontId="18" fillId="15" borderId="0" xfId="0" applyFont="1" applyFill="1" applyBorder="1" applyAlignment="1" applyProtection="1">
      <alignment horizontal="center"/>
    </xf>
    <xf numFmtId="166" fontId="70" fillId="16" borderId="0" xfId="3" applyFont="1" applyFill="1" applyBorder="1" applyAlignment="1" applyProtection="1">
      <alignment horizontal="right"/>
    </xf>
    <xf numFmtId="4" fontId="31" fillId="3" borderId="89" xfId="3" applyNumberFormat="1" applyFont="1" applyFill="1" applyBorder="1" applyAlignment="1" applyProtection="1">
      <alignment horizontal="center" vertical="center" wrapText="1"/>
      <protection hidden="1"/>
    </xf>
    <xf numFmtId="4" fontId="31" fillId="3" borderId="90" xfId="3" applyNumberFormat="1" applyFont="1" applyFill="1" applyBorder="1" applyAlignment="1" applyProtection="1">
      <alignment horizontal="center" vertical="center" wrapText="1"/>
      <protection hidden="1"/>
    </xf>
    <xf numFmtId="4" fontId="31" fillId="3" borderId="91" xfId="3" applyNumberFormat="1" applyFont="1" applyFill="1" applyBorder="1" applyAlignment="1" applyProtection="1">
      <alignment horizontal="center" vertical="center" wrapText="1"/>
      <protection hidden="1"/>
    </xf>
    <xf numFmtId="0" fontId="99" fillId="16" borderId="0" xfId="83" applyFont="1" applyFill="1" applyBorder="1" applyAlignment="1" applyProtection="1">
      <alignment horizontal="center" vertical="center"/>
    </xf>
    <xf numFmtId="166" fontId="96" fillId="15" borderId="0" xfId="3" applyFont="1" applyFill="1" applyBorder="1" applyAlignment="1" applyProtection="1">
      <alignment horizontal="right" vertical="center"/>
    </xf>
    <xf numFmtId="0" fontId="95" fillId="15" borderId="0" xfId="0" applyFont="1" applyFill="1" applyBorder="1" applyAlignment="1" applyProtection="1">
      <alignment horizontal="right"/>
    </xf>
    <xf numFmtId="166" fontId="77" fillId="15" borderId="0" xfId="3" applyFont="1" applyFill="1" applyBorder="1" applyAlignment="1" applyProtection="1">
      <alignment horizontal="right" vertical="center"/>
    </xf>
    <xf numFmtId="0" fontId="167" fillId="15" borderId="0" xfId="0" applyFont="1" applyFill="1" applyBorder="1" applyAlignment="1" applyProtection="1">
      <alignment horizontal="right" vertical="center"/>
    </xf>
    <xf numFmtId="1" fontId="60" fillId="7" borderId="0" xfId="3" applyNumberFormat="1" applyFont="1" applyFill="1" applyBorder="1" applyAlignment="1" applyProtection="1">
      <alignment horizontal="left"/>
    </xf>
    <xf numFmtId="0" fontId="0" fillId="7" borderId="0" xfId="0" applyFill="1" applyBorder="1" applyAlignment="1" applyProtection="1">
      <alignment horizontal="left"/>
    </xf>
    <xf numFmtId="166" fontId="31" fillId="13" borderId="0" xfId="3" applyFont="1" applyFill="1" applyBorder="1" applyAlignment="1" applyProtection="1">
      <alignment horizontal="center" vertical="center"/>
    </xf>
    <xf numFmtId="0" fontId="31" fillId="13" borderId="0" xfId="0" applyFont="1" applyFill="1" applyBorder="1" applyAlignment="1" applyProtection="1">
      <alignment horizontal="center" vertical="center"/>
    </xf>
    <xf numFmtId="0" fontId="23" fillId="0" borderId="0" xfId="45" applyFont="1" applyBorder="1" applyAlignment="1" applyProtection="1">
      <alignment horizontal="center"/>
    </xf>
    <xf numFmtId="0" fontId="21" fillId="0" borderId="0" xfId="45" applyFont="1" applyBorder="1" applyAlignment="1" applyProtection="1">
      <alignment horizontal="center"/>
      <protection hidden="1"/>
    </xf>
    <xf numFmtId="0" fontId="126" fillId="0" borderId="0" xfId="45" applyFont="1" applyFill="1" applyBorder="1" applyAlignment="1" applyProtection="1">
      <alignment wrapText="1"/>
      <protection locked="0"/>
    </xf>
    <xf numFmtId="1" fontId="161" fillId="0" borderId="156" xfId="83" applyNumberFormat="1" applyFont="1" applyFill="1" applyBorder="1" applyAlignment="1">
      <alignment horizontal="center" vertical="center"/>
    </xf>
    <xf numFmtId="0" fontId="161" fillId="0" borderId="140" xfId="83" applyFont="1" applyFill="1" applyBorder="1" applyAlignment="1">
      <alignment horizontal="center" vertical="center"/>
    </xf>
    <xf numFmtId="0" fontId="161" fillId="0" borderId="142" xfId="83" applyFont="1" applyFill="1" applyBorder="1" applyAlignment="1">
      <alignment horizontal="center" vertical="center"/>
    </xf>
    <xf numFmtId="0" fontId="163" fillId="16" borderId="139" xfId="83" applyFont="1" applyFill="1" applyBorder="1" applyAlignment="1">
      <alignment horizontal="center" vertical="center"/>
    </xf>
    <xf numFmtId="0" fontId="163" fillId="16" borderId="0" xfId="83" applyFont="1" applyFill="1" applyBorder="1" applyAlignment="1">
      <alignment horizontal="center" vertical="center"/>
    </xf>
    <xf numFmtId="1" fontId="161" fillId="0" borderId="150" xfId="83" applyNumberFormat="1" applyFont="1" applyFill="1" applyBorder="1" applyAlignment="1">
      <alignment horizontal="center" vertical="center"/>
    </xf>
    <xf numFmtId="0" fontId="161" fillId="0" borderId="151" xfId="83" applyFont="1" applyFill="1" applyBorder="1" applyAlignment="1">
      <alignment horizontal="center" vertical="center"/>
    </xf>
    <xf numFmtId="1" fontId="161" fillId="0" borderId="158" xfId="83" applyNumberFormat="1" applyFont="1" applyFill="1" applyBorder="1" applyAlignment="1">
      <alignment horizontal="center" vertical="center"/>
    </xf>
    <xf numFmtId="0" fontId="161" fillId="0" borderId="159" xfId="83" applyFont="1" applyFill="1" applyBorder="1" applyAlignment="1">
      <alignment horizontal="center" vertical="center"/>
    </xf>
    <xf numFmtId="0" fontId="161" fillId="0" borderId="160" xfId="83" applyFont="1" applyFill="1" applyBorder="1" applyAlignment="1">
      <alignment horizontal="center" vertical="center"/>
    </xf>
    <xf numFmtId="165" fontId="162" fillId="0" borderId="162" xfId="9" applyFont="1" applyFill="1" applyBorder="1" applyAlignment="1">
      <alignment horizontal="center" vertical="center"/>
    </xf>
    <xf numFmtId="165" fontId="162" fillId="0" borderId="159" xfId="9" applyFont="1" applyFill="1" applyBorder="1" applyAlignment="1">
      <alignment horizontal="center" vertical="center"/>
    </xf>
    <xf numFmtId="165" fontId="162" fillId="0" borderId="163" xfId="9" applyFont="1" applyFill="1" applyBorder="1" applyAlignment="1">
      <alignment horizontal="center" vertical="center"/>
    </xf>
    <xf numFmtId="165" fontId="159" fillId="0" borderId="0" xfId="9" applyFont="1" applyBorder="1" applyAlignment="1" applyProtection="1">
      <alignment horizontal="center"/>
    </xf>
    <xf numFmtId="0" fontId="126" fillId="0" borderId="0" xfId="45" applyFont="1" applyFill="1" applyBorder="1" applyAlignment="1" applyProtection="1">
      <alignment horizontal="justify" wrapText="1"/>
      <protection locked="0"/>
    </xf>
    <xf numFmtId="0" fontId="127" fillId="0" borderId="0" xfId="45" applyFont="1" applyFill="1" applyBorder="1" applyAlignment="1" applyProtection="1">
      <alignment horizontal="justify" wrapText="1"/>
      <protection locked="0"/>
    </xf>
    <xf numFmtId="0" fontId="18" fillId="0" borderId="0" xfId="45" applyFont="1" applyBorder="1" applyAlignment="1" applyProtection="1">
      <alignment horizontal="center"/>
      <protection locked="0"/>
    </xf>
    <xf numFmtId="0" fontId="13" fillId="0" borderId="0" xfId="45" applyFont="1" applyBorder="1" applyAlignment="1" applyProtection="1">
      <alignment horizontal="center"/>
    </xf>
    <xf numFmtId="0" fontId="152" fillId="16" borderId="4" xfId="45" applyFont="1" applyFill="1" applyBorder="1" applyAlignment="1" applyProtection="1">
      <alignment horizontal="center" vertical="center"/>
      <protection locked="0"/>
    </xf>
    <xf numFmtId="0" fontId="152" fillId="16" borderId="7" xfId="45" applyFont="1" applyFill="1" applyBorder="1" applyAlignment="1">
      <alignment horizontal="center" vertical="center"/>
    </xf>
    <xf numFmtId="0" fontId="152" fillId="16" borderId="5" xfId="45" applyFont="1" applyFill="1" applyBorder="1" applyAlignment="1">
      <alignment horizontal="center" vertical="center"/>
    </xf>
    <xf numFmtId="165" fontId="160" fillId="0" borderId="147" xfId="9" applyFont="1" applyFill="1" applyBorder="1" applyAlignment="1">
      <alignment horizontal="center" vertical="center"/>
    </xf>
    <xf numFmtId="165" fontId="160" fillId="0" borderId="148" xfId="9" applyFont="1" applyFill="1" applyBorder="1" applyAlignment="1">
      <alignment horizontal="center" vertical="center"/>
    </xf>
    <xf numFmtId="165" fontId="160" fillId="0" borderId="149" xfId="9" applyFont="1" applyFill="1" applyBorder="1" applyAlignment="1">
      <alignment horizontal="center" vertical="center"/>
    </xf>
    <xf numFmtId="165" fontId="162" fillId="0" borderId="143" xfId="9" applyFont="1" applyFill="1" applyBorder="1" applyAlignment="1">
      <alignment horizontal="center" vertical="center"/>
    </xf>
    <xf numFmtId="165" fontId="162" fillId="0" borderId="140" xfId="9" applyFont="1" applyFill="1" applyBorder="1" applyAlignment="1">
      <alignment horizontal="center" vertical="center"/>
    </xf>
    <xf numFmtId="165" fontId="162" fillId="0" borderId="151" xfId="9" applyFont="1" applyFill="1" applyBorder="1" applyAlignment="1">
      <alignment horizontal="center" vertical="center"/>
    </xf>
    <xf numFmtId="165" fontId="162" fillId="0" borderId="157" xfId="9" applyFont="1" applyFill="1" applyBorder="1" applyAlignment="1">
      <alignment horizontal="center" vertical="center"/>
    </xf>
    <xf numFmtId="0" fontId="164" fillId="0" borderId="141" xfId="45" applyFont="1" applyBorder="1" applyAlignment="1" applyProtection="1">
      <alignment horizontal="center"/>
    </xf>
    <xf numFmtId="0" fontId="164" fillId="0" borderId="0" xfId="45" applyFont="1" applyBorder="1" applyAlignment="1" applyProtection="1">
      <alignment horizontal="center"/>
    </xf>
    <xf numFmtId="10" fontId="37" fillId="3" borderId="75" xfId="24" applyNumberFormat="1" applyFont="1" applyFill="1" applyBorder="1" applyAlignment="1" applyProtection="1">
      <alignment horizontal="right"/>
      <protection hidden="1"/>
    </xf>
    <xf numFmtId="10" fontId="37" fillId="3" borderId="77" xfId="24" applyNumberFormat="1" applyFont="1" applyFill="1" applyBorder="1" applyAlignment="1" applyProtection="1">
      <alignment horizontal="right"/>
      <protection hidden="1"/>
    </xf>
    <xf numFmtId="4" fontId="21" fillId="3" borderId="76" xfId="45" applyNumberFormat="1" applyFont="1" applyFill="1" applyBorder="1" applyAlignment="1" applyProtection="1">
      <alignment horizontal="right"/>
      <protection hidden="1"/>
    </xf>
    <xf numFmtId="0" fontId="13" fillId="0" borderId="76" xfId="45" applyFont="1" applyBorder="1" applyAlignment="1" applyProtection="1">
      <alignment horizontal="right"/>
      <protection hidden="1"/>
    </xf>
    <xf numFmtId="0" fontId="13" fillId="0" borderId="77" xfId="45" applyFont="1" applyBorder="1" applyAlignment="1" applyProtection="1">
      <alignment horizontal="right"/>
      <protection hidden="1"/>
    </xf>
    <xf numFmtId="10" fontId="79" fillId="3" borderId="75" xfId="24" applyNumberFormat="1" applyFont="1" applyFill="1" applyBorder="1" applyAlignment="1" applyProtection="1">
      <alignment horizontal="right"/>
      <protection hidden="1"/>
    </xf>
    <xf numFmtId="10" fontId="79" fillId="3" borderId="77" xfId="24" applyNumberFormat="1" applyFont="1" applyFill="1" applyBorder="1" applyAlignment="1" applyProtection="1">
      <alignment horizontal="right"/>
      <protection hidden="1"/>
    </xf>
    <xf numFmtId="0" fontId="35" fillId="3" borderId="70" xfId="45" applyFont="1" applyFill="1" applyBorder="1" applyAlignment="1" applyProtection="1">
      <alignment horizontal="center"/>
      <protection hidden="1"/>
    </xf>
    <xf numFmtId="0" fontId="35" fillId="3" borderId="71" xfId="45" applyFont="1" applyFill="1" applyBorder="1" applyAlignment="1" applyProtection="1">
      <alignment horizontal="center"/>
      <protection hidden="1"/>
    </xf>
    <xf numFmtId="4" fontId="35" fillId="3" borderId="0" xfId="45" applyNumberFormat="1" applyFont="1" applyFill="1" applyBorder="1" applyAlignment="1" applyProtection="1">
      <alignment horizontal="right"/>
      <protection hidden="1"/>
    </xf>
    <xf numFmtId="0" fontId="13" fillId="0" borderId="0" xfId="45" applyBorder="1" applyAlignment="1" applyProtection="1">
      <alignment horizontal="right"/>
      <protection hidden="1"/>
    </xf>
    <xf numFmtId="0" fontId="13" fillId="0" borderId="71" xfId="45" applyBorder="1" applyAlignment="1" applyProtection="1">
      <alignment horizontal="right"/>
      <protection hidden="1"/>
    </xf>
    <xf numFmtId="0" fontId="127" fillId="0" borderId="0" xfId="45" applyFont="1" applyFill="1" applyBorder="1" applyAlignment="1" applyProtection="1">
      <alignment wrapText="1"/>
      <protection locked="0"/>
    </xf>
    <xf numFmtId="3" fontId="35" fillId="3" borderId="70" xfId="45" applyNumberFormat="1" applyFont="1" applyFill="1" applyBorder="1" applyAlignment="1" applyProtection="1">
      <alignment horizontal="center"/>
      <protection hidden="1"/>
    </xf>
    <xf numFmtId="3" fontId="35" fillId="3" borderId="71" xfId="45" applyNumberFormat="1" applyFont="1" applyFill="1" applyBorder="1" applyAlignment="1" applyProtection="1">
      <alignment horizontal="center"/>
      <protection hidden="1"/>
    </xf>
    <xf numFmtId="4" fontId="35" fillId="3" borderId="71" xfId="45" applyNumberFormat="1" applyFont="1" applyFill="1" applyBorder="1" applyAlignment="1" applyProtection="1">
      <alignment horizontal="right"/>
      <protection hidden="1"/>
    </xf>
    <xf numFmtId="10" fontId="37" fillId="3" borderId="70" xfId="24" applyNumberFormat="1" applyFont="1" applyFill="1" applyBorder="1" applyAlignment="1" applyProtection="1">
      <alignment horizontal="right"/>
      <protection hidden="1"/>
    </xf>
    <xf numFmtId="10" fontId="37" fillId="3" borderId="71" xfId="24" applyNumberFormat="1" applyFont="1" applyFill="1" applyBorder="1" applyAlignment="1" applyProtection="1">
      <alignment horizontal="right"/>
      <protection hidden="1"/>
    </xf>
    <xf numFmtId="10" fontId="37" fillId="3" borderId="64" xfId="24" applyNumberFormat="1" applyFont="1" applyFill="1" applyBorder="1" applyAlignment="1" applyProtection="1">
      <alignment horizontal="right"/>
      <protection hidden="1"/>
    </xf>
    <xf numFmtId="10" fontId="37" fillId="3" borderId="66" xfId="24" applyNumberFormat="1" applyFont="1" applyFill="1" applyBorder="1" applyAlignment="1" applyProtection="1">
      <alignment horizontal="right"/>
      <protection hidden="1"/>
    </xf>
    <xf numFmtId="168" fontId="35" fillId="3" borderId="76" xfId="24" applyNumberFormat="1" applyFont="1" applyFill="1" applyBorder="1" applyAlignment="1" applyProtection="1">
      <alignment horizontal="right"/>
      <protection hidden="1"/>
    </xf>
    <xf numFmtId="168" fontId="35" fillId="3" borderId="77" xfId="24" applyNumberFormat="1" applyFont="1" applyFill="1" applyBorder="1" applyAlignment="1" applyProtection="1">
      <alignment horizontal="right"/>
      <protection hidden="1"/>
    </xf>
    <xf numFmtId="165" fontId="35" fillId="3" borderId="78" xfId="9" applyFont="1" applyFill="1" applyBorder="1" applyAlignment="1" applyProtection="1">
      <alignment horizontal="right"/>
      <protection hidden="1"/>
    </xf>
    <xf numFmtId="165" fontId="35" fillId="3" borderId="79" xfId="9" applyFont="1" applyFill="1" applyBorder="1" applyAlignment="1" applyProtection="1">
      <alignment horizontal="right"/>
      <protection hidden="1"/>
    </xf>
    <xf numFmtId="165" fontId="0" fillId="0" borderId="79" xfId="9" applyFont="1" applyBorder="1" applyAlignment="1" applyProtection="1">
      <alignment horizontal="right"/>
      <protection hidden="1"/>
    </xf>
    <xf numFmtId="165" fontId="0" fillId="0" borderId="80" xfId="9" applyFont="1" applyBorder="1" applyAlignment="1" applyProtection="1">
      <alignment horizontal="right"/>
      <protection hidden="1"/>
    </xf>
    <xf numFmtId="165" fontId="35" fillId="3" borderId="64" xfId="9" applyFont="1" applyFill="1" applyBorder="1" applyAlignment="1" applyProtection="1">
      <alignment horizontal="right"/>
      <protection hidden="1"/>
    </xf>
    <xf numFmtId="165" fontId="35" fillId="3" borderId="65" xfId="9" applyFont="1" applyFill="1" applyBorder="1" applyAlignment="1" applyProtection="1">
      <alignment horizontal="right"/>
      <protection hidden="1"/>
    </xf>
    <xf numFmtId="165" fontId="35" fillId="3" borderId="81" xfId="9" applyFont="1" applyFill="1" applyBorder="1" applyAlignment="1" applyProtection="1">
      <alignment horizontal="right"/>
      <protection hidden="1"/>
    </xf>
    <xf numFmtId="165" fontId="0" fillId="0" borderId="81" xfId="9" applyFont="1" applyBorder="1" applyAlignment="1" applyProtection="1">
      <alignment horizontal="right"/>
      <protection hidden="1"/>
    </xf>
    <xf numFmtId="165" fontId="0" fillId="0" borderId="82" xfId="9" applyFont="1" applyBorder="1" applyAlignment="1" applyProtection="1">
      <alignment horizontal="right"/>
      <protection hidden="1"/>
    </xf>
    <xf numFmtId="0" fontId="34" fillId="22" borderId="78" xfId="45" applyFont="1" applyFill="1" applyBorder="1" applyAlignment="1" applyProtection="1">
      <alignment horizontal="right"/>
      <protection hidden="1"/>
    </xf>
    <xf numFmtId="0" fontId="34" fillId="22" borderId="79" xfId="45" applyFont="1" applyFill="1" applyBorder="1" applyAlignment="1" applyProtection="1">
      <alignment horizontal="right"/>
      <protection hidden="1"/>
    </xf>
    <xf numFmtId="0" fontId="34" fillId="22" borderId="79" xfId="45" applyFont="1" applyFill="1" applyBorder="1" applyAlignment="1" applyProtection="1">
      <alignment horizontal="left"/>
      <protection hidden="1"/>
    </xf>
    <xf numFmtId="0" fontId="13" fillId="22" borderId="80" xfId="45" applyFill="1" applyBorder="1" applyAlignment="1" applyProtection="1">
      <alignment horizontal="left"/>
      <protection hidden="1"/>
    </xf>
    <xf numFmtId="0" fontId="34" fillId="22" borderId="64" xfId="45" applyFont="1" applyFill="1" applyBorder="1" applyAlignment="1" applyProtection="1">
      <alignment horizontal="right"/>
      <protection hidden="1"/>
    </xf>
    <xf numFmtId="0" fontId="34" fillId="22" borderId="65" xfId="45" applyFont="1" applyFill="1" applyBorder="1" applyAlignment="1" applyProtection="1">
      <alignment horizontal="right"/>
      <protection hidden="1"/>
    </xf>
    <xf numFmtId="0" fontId="34" fillId="22" borderId="65" xfId="45" applyFont="1" applyFill="1" applyBorder="1" applyAlignment="1" applyProtection="1">
      <alignment horizontal="left"/>
      <protection hidden="1"/>
    </xf>
    <xf numFmtId="0" fontId="13" fillId="22" borderId="66" xfId="45" applyFill="1" applyBorder="1" applyAlignment="1" applyProtection="1">
      <alignment horizontal="left"/>
      <protection hidden="1"/>
    </xf>
    <xf numFmtId="171" fontId="13" fillId="0" borderId="0" xfId="45" applyNumberFormat="1" applyBorder="1" applyAlignment="1" applyProtection="1">
      <alignment horizontal="center"/>
    </xf>
    <xf numFmtId="166" fontId="122" fillId="0" borderId="0" xfId="45" applyNumberFormat="1" applyFont="1" applyBorder="1" applyAlignment="1" applyProtection="1">
      <alignment horizontal="left"/>
    </xf>
    <xf numFmtId="0" fontId="122" fillId="0" borderId="0" xfId="45" applyFont="1" applyBorder="1" applyAlignment="1" applyProtection="1">
      <alignment horizontal="left"/>
    </xf>
    <xf numFmtId="166" fontId="122" fillId="0" borderId="0" xfId="45" applyNumberFormat="1" applyFont="1" applyBorder="1" applyAlignment="1" applyProtection="1">
      <alignment horizontal="center"/>
    </xf>
    <xf numFmtId="165" fontId="123" fillId="0" borderId="0" xfId="45" applyNumberFormat="1" applyFont="1" applyBorder="1" applyAlignment="1" applyProtection="1">
      <alignment horizontal="center"/>
    </xf>
    <xf numFmtId="0" fontId="122" fillId="0" borderId="0" xfId="45" applyFont="1" applyBorder="1" applyAlignment="1" applyProtection="1">
      <alignment horizontal="left"/>
      <protection locked="0"/>
    </xf>
    <xf numFmtId="1" fontId="162" fillId="0" borderId="146" xfId="83" applyNumberFormat="1" applyFont="1" applyFill="1" applyBorder="1" applyAlignment="1">
      <alignment horizontal="center" vertical="center"/>
    </xf>
    <xf numFmtId="1" fontId="162" fillId="0" borderId="161" xfId="83" applyNumberFormat="1" applyFont="1" applyFill="1" applyBorder="1" applyAlignment="1">
      <alignment horizontal="center" vertical="center"/>
    </xf>
    <xf numFmtId="165" fontId="160" fillId="0" borderId="147" xfId="9" applyFont="1" applyFill="1" applyBorder="1" applyAlignment="1" applyProtection="1">
      <alignment horizontal="center" vertical="center"/>
    </xf>
    <xf numFmtId="165" fontId="160" fillId="0" borderId="148" xfId="9" applyFont="1" applyFill="1" applyBorder="1" applyAlignment="1" applyProtection="1">
      <alignment horizontal="center" vertical="center"/>
    </xf>
    <xf numFmtId="165" fontId="160" fillId="0" borderId="149" xfId="9" applyFont="1" applyFill="1" applyBorder="1" applyAlignment="1" applyProtection="1">
      <alignment horizontal="center" vertical="center"/>
    </xf>
    <xf numFmtId="4" fontId="35" fillId="3" borderId="70" xfId="45" applyNumberFormat="1" applyFont="1" applyFill="1" applyBorder="1" applyAlignment="1" applyProtection="1">
      <alignment horizontal="right"/>
      <protection hidden="1"/>
    </xf>
    <xf numFmtId="0" fontId="13" fillId="0" borderId="0" xfId="45" applyBorder="1" applyAlignment="1" applyProtection="1">
      <alignment horizontal="center"/>
      <protection locked="0"/>
    </xf>
    <xf numFmtId="165" fontId="35" fillId="3" borderId="78" xfId="45" applyNumberFormat="1" applyFont="1" applyFill="1" applyBorder="1" applyAlignment="1" applyProtection="1">
      <alignment horizontal="center"/>
      <protection hidden="1"/>
    </xf>
    <xf numFmtId="165" fontId="35" fillId="3" borderId="79" xfId="45" applyNumberFormat="1" applyFont="1" applyFill="1" applyBorder="1" applyAlignment="1" applyProtection="1">
      <alignment horizontal="center"/>
      <protection hidden="1"/>
    </xf>
    <xf numFmtId="165" fontId="35" fillId="3" borderId="80" xfId="45" applyNumberFormat="1" applyFont="1" applyFill="1" applyBorder="1" applyAlignment="1" applyProtection="1">
      <alignment horizontal="center"/>
      <protection hidden="1"/>
    </xf>
    <xf numFmtId="4" fontId="21" fillId="3" borderId="75" xfId="45" applyNumberFormat="1" applyFont="1" applyFill="1" applyBorder="1" applyAlignment="1" applyProtection="1">
      <alignment horizontal="right"/>
      <protection hidden="1"/>
    </xf>
    <xf numFmtId="4" fontId="35" fillId="3" borderId="64" xfId="45" applyNumberFormat="1" applyFont="1" applyFill="1" applyBorder="1" applyAlignment="1" applyProtection="1">
      <alignment horizontal="right"/>
      <protection hidden="1"/>
    </xf>
    <xf numFmtId="4" fontId="35" fillId="3" borderId="65" xfId="45" applyNumberFormat="1" applyFont="1" applyFill="1" applyBorder="1" applyAlignment="1" applyProtection="1">
      <alignment horizontal="right"/>
      <protection hidden="1"/>
    </xf>
    <xf numFmtId="4" fontId="35" fillId="3" borderId="66" xfId="45" applyNumberFormat="1" applyFont="1" applyFill="1" applyBorder="1" applyAlignment="1" applyProtection="1">
      <alignment horizontal="right"/>
      <protection hidden="1"/>
    </xf>
    <xf numFmtId="165" fontId="35" fillId="3" borderId="80" xfId="9" applyFont="1" applyFill="1" applyBorder="1" applyAlignment="1" applyProtection="1">
      <alignment horizontal="right"/>
      <protection hidden="1"/>
    </xf>
    <xf numFmtId="4" fontId="35" fillId="3" borderId="70" xfId="45" applyNumberFormat="1" applyFont="1" applyFill="1" applyBorder="1" applyAlignment="1" applyProtection="1">
      <alignment horizontal="center"/>
      <protection hidden="1"/>
    </xf>
    <xf numFmtId="4" fontId="35" fillId="3" borderId="0" xfId="45" applyNumberFormat="1" applyFont="1" applyFill="1" applyBorder="1" applyAlignment="1" applyProtection="1">
      <alignment horizontal="center"/>
      <protection hidden="1"/>
    </xf>
    <xf numFmtId="4" fontId="35" fillId="3" borderId="71" xfId="45" applyNumberFormat="1" applyFont="1" applyFill="1" applyBorder="1" applyAlignment="1" applyProtection="1">
      <alignment horizontal="center"/>
      <protection hidden="1"/>
    </xf>
    <xf numFmtId="0" fontId="34" fillId="22" borderId="66" xfId="45" applyFont="1" applyFill="1" applyBorder="1" applyAlignment="1" applyProtection="1">
      <alignment horizontal="left"/>
      <protection hidden="1"/>
    </xf>
    <xf numFmtId="0" fontId="163" fillId="16" borderId="145" xfId="83" applyFont="1" applyFill="1" applyBorder="1" applyAlignment="1">
      <alignment horizontal="center" vertical="center"/>
    </xf>
    <xf numFmtId="1" fontId="162" fillId="0" borderId="152" xfId="83" applyNumberFormat="1" applyFont="1" applyFill="1" applyBorder="1" applyAlignment="1">
      <alignment horizontal="center" vertical="center"/>
    </xf>
    <xf numFmtId="1" fontId="162" fillId="0" borderId="153" xfId="83" applyNumberFormat="1" applyFont="1" applyFill="1" applyBorder="1" applyAlignment="1">
      <alignment horizontal="center" vertical="center"/>
    </xf>
    <xf numFmtId="1" fontId="162" fillId="0" borderId="154" xfId="83" applyNumberFormat="1" applyFont="1" applyFill="1" applyBorder="1" applyAlignment="1">
      <alignment horizontal="center" vertical="center"/>
    </xf>
    <xf numFmtId="165" fontId="162" fillId="0" borderId="155" xfId="9" applyFont="1" applyFill="1" applyBorder="1" applyAlignment="1">
      <alignment horizontal="center" vertical="center"/>
    </xf>
    <xf numFmtId="0" fontId="122" fillId="0" borderId="0" xfId="45" applyFont="1" applyBorder="1" applyAlignment="1" applyProtection="1">
      <alignment horizontal="center" vertical="center" wrapText="1"/>
      <protection locked="0"/>
    </xf>
    <xf numFmtId="9" fontId="37" fillId="3" borderId="75" xfId="24" applyFont="1" applyFill="1" applyBorder="1" applyAlignment="1" applyProtection="1">
      <alignment horizontal="center"/>
      <protection hidden="1"/>
    </xf>
    <xf numFmtId="9" fontId="37" fillId="3" borderId="77" xfId="24" applyFont="1" applyFill="1" applyBorder="1" applyAlignment="1" applyProtection="1">
      <alignment horizontal="center"/>
      <protection hidden="1"/>
    </xf>
    <xf numFmtId="4" fontId="21" fillId="3" borderId="77" xfId="45" applyNumberFormat="1" applyFont="1" applyFill="1" applyBorder="1" applyAlignment="1" applyProtection="1">
      <alignment horizontal="right"/>
      <protection hidden="1"/>
    </xf>
    <xf numFmtId="0" fontId="34" fillId="22" borderId="67" xfId="45" applyFont="1" applyFill="1" applyBorder="1" applyAlignment="1" applyProtection="1">
      <alignment horizontal="right"/>
      <protection hidden="1"/>
    </xf>
    <xf numFmtId="0" fontId="34" fillId="22" borderId="68" xfId="45" applyFont="1" applyFill="1" applyBorder="1" applyAlignment="1" applyProtection="1">
      <alignment horizontal="right"/>
      <protection hidden="1"/>
    </xf>
    <xf numFmtId="0" fontId="13" fillId="0" borderId="65" xfId="45" applyBorder="1" applyAlignment="1" applyProtection="1">
      <alignment horizontal="right"/>
      <protection hidden="1"/>
    </xf>
    <xf numFmtId="0" fontId="13" fillId="0" borderId="66" xfId="45" applyBorder="1" applyAlignment="1" applyProtection="1">
      <alignment horizontal="right"/>
      <protection hidden="1"/>
    </xf>
    <xf numFmtId="10" fontId="34" fillId="3" borderId="0" xfId="45" applyNumberFormat="1" applyFont="1" applyFill="1" applyBorder="1" applyAlignment="1" applyProtection="1">
      <protection hidden="1"/>
    </xf>
    <xf numFmtId="10" fontId="34" fillId="3" borderId="0" xfId="24" applyNumberFormat="1" applyFont="1" applyFill="1" applyBorder="1" applyAlignment="1" applyProtection="1">
      <alignment horizontal="right"/>
      <protection hidden="1"/>
    </xf>
    <xf numFmtId="0" fontId="34" fillId="22" borderId="68" xfId="45" applyFont="1" applyFill="1" applyBorder="1" applyAlignment="1" applyProtection="1">
      <alignment horizontal="left"/>
      <protection hidden="1"/>
    </xf>
    <xf numFmtId="0" fontId="13" fillId="22" borderId="69" xfId="45" applyFill="1" applyBorder="1" applyAlignment="1" applyProtection="1">
      <alignment horizontal="left"/>
      <protection hidden="1"/>
    </xf>
    <xf numFmtId="4" fontId="35" fillId="3" borderId="72" xfId="45" applyNumberFormat="1" applyFont="1" applyFill="1" applyBorder="1" applyAlignment="1" applyProtection="1">
      <alignment horizontal="center"/>
      <protection hidden="1"/>
    </xf>
    <xf numFmtId="4" fontId="35" fillId="3" borderId="73" xfId="45" applyNumberFormat="1" applyFont="1" applyFill="1" applyBorder="1" applyAlignment="1" applyProtection="1">
      <alignment horizontal="center"/>
      <protection hidden="1"/>
    </xf>
    <xf numFmtId="4" fontId="35" fillId="3" borderId="74" xfId="45" applyNumberFormat="1" applyFont="1" applyFill="1" applyBorder="1" applyAlignment="1" applyProtection="1">
      <alignment horizontal="center"/>
      <protection hidden="1"/>
    </xf>
    <xf numFmtId="4" fontId="35" fillId="3" borderId="75" xfId="45" applyNumberFormat="1" applyFont="1" applyFill="1" applyBorder="1" applyAlignment="1" applyProtection="1">
      <alignment horizontal="center"/>
      <protection hidden="1"/>
    </xf>
    <xf numFmtId="4" fontId="35" fillId="3" borderId="76" xfId="45" applyNumberFormat="1" applyFont="1" applyFill="1" applyBorder="1" applyAlignment="1" applyProtection="1">
      <alignment horizontal="center"/>
      <protection hidden="1"/>
    </xf>
    <xf numFmtId="4" fontId="35" fillId="3" borderId="77" xfId="45" applyNumberFormat="1" applyFont="1" applyFill="1" applyBorder="1" applyAlignment="1" applyProtection="1">
      <alignment horizontal="center"/>
      <protection hidden="1"/>
    </xf>
    <xf numFmtId="0" fontId="120" fillId="22" borderId="4" xfId="0" applyFont="1" applyFill="1" applyBorder="1" applyAlignment="1">
      <alignment horizontal="center" vertical="center"/>
    </xf>
    <xf numFmtId="0" fontId="120" fillId="22" borderId="7" xfId="0" applyFont="1" applyFill="1" applyBorder="1" applyAlignment="1">
      <alignment horizontal="center" vertical="center"/>
    </xf>
    <xf numFmtId="0" fontId="120" fillId="22" borderId="5" xfId="0" applyFont="1" applyFill="1" applyBorder="1" applyAlignment="1">
      <alignment horizontal="center" vertical="center"/>
    </xf>
    <xf numFmtId="0" fontId="151" fillId="29" borderId="4" xfId="46" applyFont="1" applyFill="1" applyBorder="1" applyAlignment="1">
      <alignment horizontal="center" vertical="center"/>
    </xf>
    <xf numFmtId="0" fontId="151" fillId="29" borderId="7" xfId="46" applyFont="1" applyFill="1" applyBorder="1" applyAlignment="1">
      <alignment horizontal="center" vertical="center"/>
    </xf>
    <xf numFmtId="0" fontId="151" fillId="29" borderId="5" xfId="46" applyFont="1" applyFill="1" applyBorder="1" applyAlignment="1">
      <alignment horizontal="center" vertical="center"/>
    </xf>
    <xf numFmtId="0" fontId="148" fillId="16" borderId="98" xfId="0" applyFont="1" applyFill="1" applyBorder="1" applyAlignment="1" applyProtection="1">
      <alignment horizontal="center" vertical="center" wrapText="1"/>
    </xf>
    <xf numFmtId="0" fontId="148" fillId="16" borderId="99" xfId="0" applyFont="1" applyFill="1" applyBorder="1" applyAlignment="1" applyProtection="1">
      <alignment horizontal="center" vertical="center" wrapText="1"/>
    </xf>
    <xf numFmtId="0" fontId="148" fillId="16" borderId="100" xfId="0" applyFont="1" applyFill="1" applyBorder="1" applyAlignment="1" applyProtection="1">
      <alignment horizontal="center" vertical="center" wrapText="1"/>
    </xf>
    <xf numFmtId="0" fontId="148" fillId="16" borderId="101" xfId="0" applyFont="1" applyFill="1" applyBorder="1" applyAlignment="1" applyProtection="1">
      <alignment horizontal="center" vertical="center" wrapText="1"/>
    </xf>
    <xf numFmtId="0" fontId="148" fillId="16" borderId="102" xfId="0" applyFont="1" applyFill="1" applyBorder="1" applyAlignment="1" applyProtection="1">
      <alignment horizontal="center" vertical="center" wrapText="1"/>
    </xf>
    <xf numFmtId="0" fontId="148" fillId="16" borderId="103" xfId="0" applyFont="1" applyFill="1" applyBorder="1" applyAlignment="1" applyProtection="1">
      <alignment horizontal="center" vertical="center" wrapText="1"/>
    </xf>
  </cellXfs>
  <cellStyles count="321">
    <cellStyle name="%" xfId="140"/>
    <cellStyle name="% 2" xfId="141"/>
    <cellStyle name="=C:\WINNT\SYSTEM32\COMMAND.COM" xfId="81"/>
    <cellStyle name="A3 297 x 420 mm" xfId="142"/>
    <cellStyle name="Cálculo" xfId="319" builtinId="22"/>
    <cellStyle name="Categoría del Piloto de Datos" xfId="143"/>
    <cellStyle name="Comma 2" xfId="1"/>
    <cellStyle name="Comma 2 2" xfId="2"/>
    <cellStyle name="Comma 2 2 2" xfId="31"/>
    <cellStyle name="Comma 2 3" xfId="30"/>
    <cellStyle name="Comma 2 4" xfId="144"/>
    <cellStyle name="Comma 3" xfId="145"/>
    <cellStyle name="Currency 2" xfId="59"/>
    <cellStyle name="Currency 2 2" xfId="82"/>
    <cellStyle name="Currency 2 2 2" xfId="131"/>
    <cellStyle name="Currency 2 2 3" xfId="120"/>
    <cellStyle name="Currency 2 3" xfId="91"/>
    <cellStyle name="Currency 2 3 2" xfId="104"/>
    <cellStyle name="Currency 2 4" xfId="97"/>
    <cellStyle name="Header1" xfId="310"/>
    <cellStyle name="Header2" xfId="311"/>
    <cellStyle name="Hipervínculo" xfId="111" builtinId="8" customBuiltin="1"/>
    <cellStyle name="Hipervínculo 2" xfId="80"/>
    <cellStyle name="Hipervínculo visitado" xfId="318" builtinId="9" customBuiltin="1"/>
    <cellStyle name="Millares" xfId="3" builtinId="3"/>
    <cellStyle name="Millares 10" xfId="314"/>
    <cellStyle name="Millares 11" xfId="316"/>
    <cellStyle name="Millares 2" xfId="4"/>
    <cellStyle name="Millares 2 10" xfId="147"/>
    <cellStyle name="Millares 2 11" xfId="148"/>
    <cellStyle name="Millares 2 12" xfId="149"/>
    <cellStyle name="Millares 2 13" xfId="150"/>
    <cellStyle name="Millares 2 14" xfId="151"/>
    <cellStyle name="Millares 2 15" xfId="152"/>
    <cellStyle name="Millares 2 16" xfId="153"/>
    <cellStyle name="Millares 2 17" xfId="154"/>
    <cellStyle name="Millares 2 18" xfId="155"/>
    <cellStyle name="Millares 2 19" xfId="156"/>
    <cellStyle name="Millares 2 2" xfId="5"/>
    <cellStyle name="Millares 2 2 2" xfId="34"/>
    <cellStyle name="Millares 2 2 3" xfId="64"/>
    <cellStyle name="Millares 2 2 4" xfId="157"/>
    <cellStyle name="Millares 2 20" xfId="158"/>
    <cellStyle name="Millares 2 21" xfId="159"/>
    <cellStyle name="Millares 2 22" xfId="160"/>
    <cellStyle name="Millares 2 23" xfId="161"/>
    <cellStyle name="Millares 2 24" xfId="162"/>
    <cellStyle name="Millares 2 25" xfId="163"/>
    <cellStyle name="Millares 2 26" xfId="164"/>
    <cellStyle name="Millares 2 27" xfId="165"/>
    <cellStyle name="Millares 2 28" xfId="166"/>
    <cellStyle name="Millares 2 29" xfId="167"/>
    <cellStyle name="Millares 2 3" xfId="33"/>
    <cellStyle name="Millares 2 3 2" xfId="168"/>
    <cellStyle name="Millares 2 30" xfId="169"/>
    <cellStyle name="Millares 2 31" xfId="146"/>
    <cellStyle name="Millares 2 4" xfId="63"/>
    <cellStyle name="Millares 2 4 2" xfId="170"/>
    <cellStyle name="Millares 2 5" xfId="171"/>
    <cellStyle name="Millares 2 6" xfId="172"/>
    <cellStyle name="Millares 2 7" xfId="173"/>
    <cellStyle name="Millares 2 8" xfId="174"/>
    <cellStyle name="Millares 2 9" xfId="175"/>
    <cellStyle name="Millares 3" xfId="6"/>
    <cellStyle name="Millares 3 2" xfId="7"/>
    <cellStyle name="Millares 3 2 2" xfId="36"/>
    <cellStyle name="Millares 3 2 3" xfId="66"/>
    <cellStyle name="Millares 3 3" xfId="35"/>
    <cellStyle name="Millares 3 4" xfId="65"/>
    <cellStyle name="Millares 3 5" xfId="137"/>
    <cellStyle name="Millares 4" xfId="8"/>
    <cellStyle name="Millares 4 2" xfId="37"/>
    <cellStyle name="Millares 4 3" xfId="67"/>
    <cellStyle name="Millares 5" xfId="32"/>
    <cellStyle name="Millares 5 2" xfId="309"/>
    <cellStyle name="Millares 6" xfId="62"/>
    <cellStyle name="Millares 6 2" xfId="77"/>
    <cellStyle name="Millares 6 2 2" xfId="100"/>
    <cellStyle name="Millares 7" xfId="84"/>
    <cellStyle name="Millares 7 2" xfId="133"/>
    <cellStyle name="Millares 7 3" xfId="122"/>
    <cellStyle name="Millares 8" xfId="112"/>
    <cellStyle name="Millares 8 2" xfId="129"/>
    <cellStyle name="Millares 9" xfId="135"/>
    <cellStyle name="Moneda" xfId="9" builtinId="4"/>
    <cellStyle name="Moneda 2" xfId="10"/>
    <cellStyle name="Moneda 2 10" xfId="177"/>
    <cellStyle name="Moneda 2 11" xfId="178"/>
    <cellStyle name="Moneda 2 12" xfId="179"/>
    <cellStyle name="Moneda 2 13" xfId="180"/>
    <cellStyle name="Moneda 2 14" xfId="181"/>
    <cellStyle name="Moneda 2 15" xfId="182"/>
    <cellStyle name="Moneda 2 16" xfId="183"/>
    <cellStyle name="Moneda 2 17" xfId="184"/>
    <cellStyle name="Moneda 2 18" xfId="185"/>
    <cellStyle name="Moneda 2 19" xfId="186"/>
    <cellStyle name="Moneda 2 2" xfId="11"/>
    <cellStyle name="Moneda 2 2 2" xfId="40"/>
    <cellStyle name="Moneda 2 2 3" xfId="70"/>
    <cellStyle name="Moneda 2 2 4" xfId="114"/>
    <cellStyle name="Moneda 2 2 5" xfId="187"/>
    <cellStyle name="Moneda 2 20" xfId="188"/>
    <cellStyle name="Moneda 2 21" xfId="189"/>
    <cellStyle name="Moneda 2 22" xfId="190"/>
    <cellStyle name="Moneda 2 23" xfId="191"/>
    <cellStyle name="Moneda 2 24" xfId="192"/>
    <cellStyle name="Moneda 2 25" xfId="193"/>
    <cellStyle name="Moneda 2 26" xfId="194"/>
    <cellStyle name="Moneda 2 27" xfId="195"/>
    <cellStyle name="Moneda 2 28" xfId="196"/>
    <cellStyle name="Moneda 2 29" xfId="197"/>
    <cellStyle name="Moneda 2 3" xfId="39"/>
    <cellStyle name="Moneda 2 3 2" xfId="198"/>
    <cellStyle name="Moneda 2 30" xfId="199"/>
    <cellStyle name="Moneda 2 31" xfId="200"/>
    <cellStyle name="Moneda 2 32" xfId="176"/>
    <cellStyle name="Moneda 2 4" xfId="69"/>
    <cellStyle name="Moneda 2 4 2" xfId="201"/>
    <cellStyle name="Moneda 2 5" xfId="90"/>
    <cellStyle name="Moneda 2 5 2" xfId="125"/>
    <cellStyle name="Moneda 2 5 3" xfId="202"/>
    <cellStyle name="Moneda 2 6" xfId="109"/>
    <cellStyle name="Moneda 2 6 2" xfId="203"/>
    <cellStyle name="Moneda 2 7" xfId="204"/>
    <cellStyle name="Moneda 2 8" xfId="205"/>
    <cellStyle name="Moneda 2 9" xfId="206"/>
    <cellStyle name="Moneda 3" xfId="12"/>
    <cellStyle name="Moneda 3 10" xfId="208"/>
    <cellStyle name="Moneda 3 11" xfId="209"/>
    <cellStyle name="Moneda 3 12" xfId="210"/>
    <cellStyle name="Moneda 3 13" xfId="211"/>
    <cellStyle name="Moneda 3 14" xfId="212"/>
    <cellStyle name="Moneda 3 15" xfId="213"/>
    <cellStyle name="Moneda 3 16" xfId="214"/>
    <cellStyle name="Moneda 3 17" xfId="139"/>
    <cellStyle name="Moneda 3 18" xfId="215"/>
    <cellStyle name="Moneda 3 19" xfId="216"/>
    <cellStyle name="Moneda 3 2" xfId="13"/>
    <cellStyle name="Moneda 3 2 2" xfId="42"/>
    <cellStyle name="Moneda 3 2 3" xfId="72"/>
    <cellStyle name="Moneda 3 2 4" xfId="217"/>
    <cellStyle name="Moneda 3 20" xfId="218"/>
    <cellStyle name="Moneda 3 21" xfId="219"/>
    <cellStyle name="Moneda 3 22" xfId="220"/>
    <cellStyle name="Moneda 3 23" xfId="221"/>
    <cellStyle name="Moneda 3 24" xfId="222"/>
    <cellStyle name="Moneda 3 25" xfId="223"/>
    <cellStyle name="Moneda 3 26" xfId="224"/>
    <cellStyle name="Moneda 3 27" xfId="225"/>
    <cellStyle name="Moneda 3 28" xfId="226"/>
    <cellStyle name="Moneda 3 29" xfId="227"/>
    <cellStyle name="Moneda 3 3" xfId="41"/>
    <cellStyle name="Moneda 3 3 2" xfId="228"/>
    <cellStyle name="Moneda 3 30" xfId="229"/>
    <cellStyle name="Moneda 3 31" xfId="230"/>
    <cellStyle name="Moneda 3 32" xfId="231"/>
    <cellStyle name="Moneda 3 33" xfId="232"/>
    <cellStyle name="Moneda 3 34" xfId="233"/>
    <cellStyle name="Moneda 3 35" xfId="234"/>
    <cellStyle name="Moneda 3 36" xfId="235"/>
    <cellStyle name="Moneda 3 37" xfId="236"/>
    <cellStyle name="Moneda 3 38" xfId="237"/>
    <cellStyle name="Moneda 3 39" xfId="238"/>
    <cellStyle name="Moneda 3 4" xfId="71"/>
    <cellStyle name="Moneda 3 4 2" xfId="239"/>
    <cellStyle name="Moneda 3 40" xfId="240"/>
    <cellStyle name="Moneda 3 41" xfId="241"/>
    <cellStyle name="Moneda 3 42" xfId="242"/>
    <cellStyle name="Moneda 3 43" xfId="243"/>
    <cellStyle name="Moneda 3 44" xfId="244"/>
    <cellStyle name="Moneda 3 45" xfId="207"/>
    <cellStyle name="Moneda 3 5" xfId="115"/>
    <cellStyle name="Moneda 3 5 2" xfId="128"/>
    <cellStyle name="Moneda 3 5 3" xfId="245"/>
    <cellStyle name="Moneda 3 6" xfId="246"/>
    <cellStyle name="Moneda 3 7" xfId="247"/>
    <cellStyle name="Moneda 3 8" xfId="248"/>
    <cellStyle name="Moneda 3 9" xfId="249"/>
    <cellStyle name="Moneda 4" xfId="14"/>
    <cellStyle name="Moneda 4 2" xfId="43"/>
    <cellStyle name="Moneda 4 3" xfId="73"/>
    <cellStyle name="Moneda 4 4" xfId="138"/>
    <cellStyle name="Moneda 5" xfId="38"/>
    <cellStyle name="Moneda 5 2" xfId="304"/>
    <cellStyle name="Moneda 6" xfId="68"/>
    <cellStyle name="Moneda 6 2" xfId="78"/>
    <cellStyle name="Moneda 6 2 2" xfId="101"/>
    <cellStyle name="Moneda 6 2 3" xfId="251"/>
    <cellStyle name="Moneda 6 3" xfId="252"/>
    <cellStyle name="Moneda 6 4" xfId="250"/>
    <cellStyle name="Moneda 7" xfId="85"/>
    <cellStyle name="Moneda 7 2" xfId="254"/>
    <cellStyle name="Moneda 7 3" xfId="255"/>
    <cellStyle name="Moneda 7 4" xfId="253"/>
    <cellStyle name="Moneda 8" xfId="113"/>
    <cellStyle name="Moneda 9" xfId="307"/>
    <cellStyle name="Moneda 9 10" xfId="256"/>
    <cellStyle name="Moneda 9 11" xfId="257"/>
    <cellStyle name="Moneda 9 12" xfId="258"/>
    <cellStyle name="Moneda 9 13" xfId="259"/>
    <cellStyle name="Moneda 9 14" xfId="260"/>
    <cellStyle name="Moneda 9 15" xfId="261"/>
    <cellStyle name="Moneda 9 16" xfId="262"/>
    <cellStyle name="Moneda 9 17" xfId="263"/>
    <cellStyle name="Moneda 9 18" xfId="264"/>
    <cellStyle name="Moneda 9 19" xfId="265"/>
    <cellStyle name="Moneda 9 2" xfId="266"/>
    <cellStyle name="Moneda 9 20" xfId="267"/>
    <cellStyle name="Moneda 9 21" xfId="268"/>
    <cellStyle name="Moneda 9 22" xfId="269"/>
    <cellStyle name="Moneda 9 23" xfId="270"/>
    <cellStyle name="Moneda 9 24" xfId="271"/>
    <cellStyle name="Moneda 9 3" xfId="272"/>
    <cellStyle name="Moneda 9 4" xfId="273"/>
    <cellStyle name="Moneda 9 5" xfId="274"/>
    <cellStyle name="Moneda 9 6" xfId="275"/>
    <cellStyle name="Moneda 9 7" xfId="276"/>
    <cellStyle name="Moneda 9 8" xfId="277"/>
    <cellStyle name="Moneda 9 9" xfId="278"/>
    <cellStyle name="Normal" xfId="0" builtinId="0"/>
    <cellStyle name="Normal 10" xfId="134"/>
    <cellStyle name="Normal 11" xfId="315"/>
    <cellStyle name="Normal 12" xfId="320"/>
    <cellStyle name="Normal 2" xfId="15"/>
    <cellStyle name="Normal 2 10" xfId="279"/>
    <cellStyle name="Normal 2 11" xfId="280"/>
    <cellStyle name="Normal 2 12" xfId="281"/>
    <cellStyle name="Normal 2 13" xfId="282"/>
    <cellStyle name="Normal 2 14" xfId="283"/>
    <cellStyle name="Normal 2 15" xfId="284"/>
    <cellStyle name="Normal 2 16" xfId="285"/>
    <cellStyle name="Normal 2 17" xfId="286"/>
    <cellStyle name="Normal 2 18" xfId="287"/>
    <cellStyle name="Normal 2 19" xfId="288"/>
    <cellStyle name="Normal 2 2" xfId="16"/>
    <cellStyle name="Normal 2 2 2" xfId="45"/>
    <cellStyle name="Normal 2 2 2 2" xfId="290"/>
    <cellStyle name="Normal 2 2 3" xfId="116"/>
    <cellStyle name="Normal 2 2 4" xfId="289"/>
    <cellStyle name="Normal 2 20" xfId="291"/>
    <cellStyle name="Normal 2 21" xfId="292"/>
    <cellStyle name="Normal 2 3" xfId="44"/>
    <cellStyle name="Normal 2 3 2" xfId="293"/>
    <cellStyle name="Normal 2 4" xfId="88"/>
    <cellStyle name="Normal 2 4 2" xfId="127"/>
    <cellStyle name="Normal 2 4 3" xfId="294"/>
    <cellStyle name="Normal 2 5" xfId="107"/>
    <cellStyle name="Normal 2 5 2" xfId="295"/>
    <cellStyle name="Normal 2 6" xfId="296"/>
    <cellStyle name="Normal 2 7" xfId="297"/>
    <cellStyle name="Normal 2 8" xfId="298"/>
    <cellStyle name="Normal 2 9" xfId="299"/>
    <cellStyle name="Normal 256" xfId="300"/>
    <cellStyle name="Normal 3" xfId="17"/>
    <cellStyle name="Normal 3 2" xfId="46"/>
    <cellStyle name="Normal 3 3" xfId="117"/>
    <cellStyle name="Normal 3 3 2" xfId="124"/>
    <cellStyle name="Normal 4" xfId="18"/>
    <cellStyle name="Normal 4 2" xfId="47"/>
    <cellStyle name="Normal 4 2 2" xfId="76"/>
    <cellStyle name="Normal 4 2 2 2" xfId="99"/>
    <cellStyle name="Normal 4 2 3" xfId="95"/>
    <cellStyle name="Normal 4 3" xfId="74"/>
    <cellStyle name="Normal 4 3 2" xfId="98"/>
    <cellStyle name="Normal 4 4" xfId="94"/>
    <cellStyle name="Normal 4 5" xfId="306"/>
    <cellStyle name="Normal 5" xfId="58"/>
    <cellStyle name="Normal 5 2" xfId="96"/>
    <cellStyle name="Normal 5 2 2 2" xfId="313"/>
    <cellStyle name="Normal 5 3" xfId="308"/>
    <cellStyle name="Normal 6" xfId="61"/>
    <cellStyle name="Normal 7" xfId="60"/>
    <cellStyle name="Normal 7 2" xfId="312"/>
    <cellStyle name="Normal 8" xfId="83"/>
    <cellStyle name="Normal 8 2" xfId="130"/>
    <cellStyle name="Normal 8 3" xfId="119"/>
    <cellStyle name="Normal 9" xfId="92"/>
    <cellStyle name="Normal 9 2" xfId="103"/>
    <cellStyle name="Normal 9 3" xfId="106"/>
    <cellStyle name="Percent 2" xfId="19"/>
    <cellStyle name="Percent 2 2" xfId="20"/>
    <cellStyle name="Percent 2 2 2" xfId="49"/>
    <cellStyle name="Percent 2 3" xfId="48"/>
    <cellStyle name="Percent 3" xfId="21"/>
    <cellStyle name="Percent 3 2" xfId="50"/>
    <cellStyle name="Percent 4" xfId="22"/>
    <cellStyle name="Percent 4 2" xfId="23"/>
    <cellStyle name="Percent 4 2 2" xfId="52"/>
    <cellStyle name="Percent 4 3" xfId="51"/>
    <cellStyle name="Piloto de Datos Valor" xfId="301"/>
    <cellStyle name="Porcentaje" xfId="24" builtinId="5"/>
    <cellStyle name="Porcentaje 2" xfId="25"/>
    <cellStyle name="Porcentaje 2 2" xfId="26"/>
    <cellStyle name="Porcentaje 2 2 2" xfId="54"/>
    <cellStyle name="Porcentaje 2 2 3" xfId="118"/>
    <cellStyle name="Porcentaje 2 3" xfId="53"/>
    <cellStyle name="Porcentaje 2 4" xfId="89"/>
    <cellStyle name="Porcentaje 2 4 2" xfId="126"/>
    <cellStyle name="Porcentaje 2 5" xfId="108"/>
    <cellStyle name="Porcentaje 3" xfId="27"/>
    <cellStyle name="Porcentaje 3 2" xfId="28"/>
    <cellStyle name="Porcentaje 3 2 2" xfId="56"/>
    <cellStyle name="Porcentaje 3 3" xfId="55"/>
    <cellStyle name="Porcentaje 3 4" xfId="110"/>
    <cellStyle name="Porcentaje 3 4 2" xfId="123"/>
    <cellStyle name="Porcentaje 4" xfId="29"/>
    <cellStyle name="Porcentaje 4 2" xfId="57"/>
    <cellStyle name="Porcentaje 5" xfId="75"/>
    <cellStyle name="Porcentaje 5 2" xfId="79"/>
    <cellStyle name="Porcentaje 5 2 2" xfId="102"/>
    <cellStyle name="Porcentaje 6" xfId="86"/>
    <cellStyle name="Porcentaje 6 2" xfId="132"/>
    <cellStyle name="Porcentaje 6 3" xfId="121"/>
    <cellStyle name="Porcentaje 7" xfId="93"/>
    <cellStyle name="Porcentaje 7 2" xfId="105"/>
    <cellStyle name="Porcentaje 8" xfId="305"/>
    <cellStyle name="Porcentaje 9" xfId="317"/>
    <cellStyle name="Porcentual 2" xfId="302"/>
    <cellStyle name="Porcentual 2 2" xfId="303"/>
    <cellStyle name="Porcentual 3" xfId="136"/>
    <cellStyle name="Style 1" xfId="87"/>
  </cellStyles>
  <dxfs count="35">
    <dxf>
      <font>
        <color theme="0"/>
      </font>
      <border>
        <left/>
        <right/>
        <top/>
        <bottom/>
      </border>
    </dxf>
    <dxf>
      <font>
        <color theme="0"/>
      </font>
      <fill>
        <patternFill>
          <bgColor theme="0"/>
        </patternFill>
      </fill>
    </dxf>
    <dxf>
      <font>
        <color theme="0"/>
      </font>
      <border>
        <left/>
        <right/>
        <top/>
        <bottom/>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6" tint="0.79998168889431442"/>
        </patternFill>
      </fill>
    </dxf>
    <dxf>
      <font>
        <b/>
        <i val="0"/>
        <color rgb="FFFF000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auto="1"/>
      </font>
      <fill>
        <gradientFill type="path" left="0.5" right="0.5" top="0.5" bottom="0.5">
          <stop position="0">
            <color rgb="FFFFFF00"/>
          </stop>
          <stop position="1">
            <color rgb="FFFF0000"/>
          </stop>
        </gradientFill>
      </fill>
    </dxf>
    <dxf>
      <font>
        <color auto="1"/>
      </font>
      <fill>
        <gradientFill type="path" left="0.5" right="0.5" top="0.5" bottom="0.5">
          <stop position="0">
            <color rgb="FFFFFF00"/>
          </stop>
          <stop position="1">
            <color rgb="FFFF0000"/>
          </stop>
        </gradientFill>
      </fill>
    </dxf>
    <dxf>
      <font>
        <color auto="1"/>
      </font>
      <fill>
        <gradientFill type="path" left="0.5" right="0.5" top="0.5" bottom="0.5">
          <stop position="0">
            <color rgb="FFFFFF00"/>
          </stop>
          <stop position="1">
            <color rgb="FFFF0000"/>
          </stop>
        </gradientFill>
      </fill>
    </dxf>
    <dxf>
      <font>
        <color auto="1"/>
      </font>
      <fill>
        <gradientFill type="path" left="0.5" right="0.5" top="0.5" bottom="0.5">
          <stop position="0">
            <color rgb="FFFFFF00"/>
          </stop>
          <stop position="1">
            <color rgb="FFFF0000"/>
          </stop>
        </gradientFill>
      </fill>
    </dxf>
    <dxf>
      <font>
        <color auto="1"/>
      </font>
      <fill>
        <gradientFill type="path" left="0.5" right="0.5" top="0.5" bottom="0.5">
          <stop position="0">
            <color rgb="FFFFFF00"/>
          </stop>
          <stop position="1">
            <color rgb="FFFF0000"/>
          </stop>
        </gradientFill>
      </fill>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dxf>
    <dxf>
      <font>
        <b/>
        <color theme="1"/>
      </font>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color theme="1"/>
      </font>
      <border>
        <bottom style="medium">
          <color theme="1"/>
        </bottom>
      </border>
    </dxf>
    <dxf>
      <font>
        <color theme="1"/>
      </font>
      <border diagonalUp="0" diagonalDown="0">
        <left style="thin">
          <color theme="0" tint="-0.34998626667073579"/>
        </left>
        <right style="thin">
          <color theme="0" tint="-0.34998626667073579"/>
        </right>
        <top style="thin">
          <color auto="1"/>
        </top>
        <bottom style="thin">
          <color auto="1"/>
        </bottom>
        <vertical style="thin">
          <color theme="0" tint="-0.34998626667073579"/>
        </vertical>
        <horizontal style="thin">
          <color theme="0" tint="-0.34998626667073579"/>
        </horizontal>
      </border>
    </dxf>
  </dxfs>
  <tableStyles count="1" defaultTableStyle="TableStyleMedium2" defaultPivotStyle="PivotStyleLight16">
    <tableStyle name="TableStyleLight15 2" pivot="0" count="7">
      <tableStyleElement type="wholeTable" dxfId="34"/>
      <tableStyleElement type="headerRow" dxfId="33"/>
      <tableStyleElement type="totalRow" dxfId="32"/>
      <tableStyleElement type="firstColumn" dxfId="31"/>
      <tableStyleElement type="lastColumn" dxfId="30"/>
      <tableStyleElement type="firstRowStripe" dxfId="29"/>
      <tableStyleElement type="firstColumnStripe" dxfId="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1EBDA"/>
      <color rgb="FF03626F"/>
      <color rgb="FFFFC7CE"/>
      <color rgb="FF9C0006"/>
      <color rgb="FF68C795"/>
      <color rgb="FF71CC98"/>
      <color rgb="FF71CCFC"/>
      <color rgb="FFE46D0A"/>
      <color rgb="FF72C9B7"/>
      <color rgb="FF88B6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Radio" firstButton="1" fmlaLink="Catalogos!$C$48"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104775</xdr:colOff>
          <xdr:row>44</xdr:row>
          <xdr:rowOff>0</xdr:rowOff>
        </xdr:from>
        <xdr:to>
          <xdr:col>14</xdr:col>
          <xdr:colOff>47625</xdr:colOff>
          <xdr:row>45</xdr:row>
          <xdr:rowOff>28575</xdr:rowOff>
        </xdr:to>
        <xdr:sp macro="" textlink="">
          <xdr:nvSpPr>
            <xdr:cNvPr id="1036" name="CheckBox1"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44</xdr:row>
          <xdr:rowOff>28575</xdr:rowOff>
        </xdr:from>
        <xdr:to>
          <xdr:col>16</xdr:col>
          <xdr:colOff>209550</xdr:colOff>
          <xdr:row>45</xdr:row>
          <xdr:rowOff>0</xdr:rowOff>
        </xdr:to>
        <xdr:sp macro="" textlink="">
          <xdr:nvSpPr>
            <xdr:cNvPr id="1037" name="CheckBox2"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44</xdr:row>
          <xdr:rowOff>28575</xdr:rowOff>
        </xdr:from>
        <xdr:to>
          <xdr:col>20</xdr:col>
          <xdr:colOff>200025</xdr:colOff>
          <xdr:row>45</xdr:row>
          <xdr:rowOff>0</xdr:rowOff>
        </xdr:to>
        <xdr:sp macro="" textlink="">
          <xdr:nvSpPr>
            <xdr:cNvPr id="1038" name="CheckBox3"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44</xdr:row>
          <xdr:rowOff>28575</xdr:rowOff>
        </xdr:from>
        <xdr:to>
          <xdr:col>23</xdr:col>
          <xdr:colOff>180975</xdr:colOff>
          <xdr:row>45</xdr:row>
          <xdr:rowOff>0</xdr:rowOff>
        </xdr:to>
        <xdr:sp macro="" textlink="">
          <xdr:nvSpPr>
            <xdr:cNvPr id="1039" name="CheckBox4"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44</xdr:row>
          <xdr:rowOff>28575</xdr:rowOff>
        </xdr:from>
        <xdr:to>
          <xdr:col>28</xdr:col>
          <xdr:colOff>219075</xdr:colOff>
          <xdr:row>45</xdr:row>
          <xdr:rowOff>0</xdr:rowOff>
        </xdr:to>
        <xdr:sp macro="" textlink="">
          <xdr:nvSpPr>
            <xdr:cNvPr id="1040" name="CheckBox5"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twoCellAnchor editAs="oneCell">
    <xdr:from>
      <xdr:col>29</xdr:col>
      <xdr:colOff>140167</xdr:colOff>
      <xdr:row>1</xdr:row>
      <xdr:rowOff>161925</xdr:rowOff>
    </xdr:from>
    <xdr:to>
      <xdr:col>35</xdr:col>
      <xdr:colOff>171725</xdr:colOff>
      <xdr:row>15</xdr:row>
      <xdr:rowOff>31750</xdr:rowOff>
    </xdr:to>
    <xdr:pic>
      <xdr:nvPicPr>
        <xdr:cNvPr id="16" name="Shape 89" descr="VISUAL-START.png">
          <a:extLst>
            <a:ext uri="{FF2B5EF4-FFF2-40B4-BE49-F238E27FC236}">
              <a16:creationId xmlns="" xmlns:a16="http://schemas.microsoft.com/office/drawing/2014/main" id="{00000000-0008-0000-0000-000010000000}"/>
            </a:ext>
          </a:extLst>
        </xdr:cNvPr>
        <xdr:cNvPicPr preferRelativeResize="0">
          <a:picLocks noChangeAspect="1"/>
        </xdr:cNvPicPr>
      </xdr:nvPicPr>
      <xdr:blipFill rotWithShape="1">
        <a:blip xmlns:r="http://schemas.openxmlformats.org/officeDocument/2006/relationships" r:embed="rId1">
          <a:alphaModFix/>
        </a:blip>
        <a:srcRect r="7973" b="5740"/>
        <a:stretch/>
      </xdr:blipFill>
      <xdr:spPr>
        <a:xfrm>
          <a:off x="9741367" y="323850"/>
          <a:ext cx="1784158" cy="2476500"/>
        </a:xfrm>
        <a:prstGeom prst="rect">
          <a:avLst/>
        </a:prstGeom>
        <a:noFill/>
        <a:ln>
          <a:noFill/>
        </a:ln>
      </xdr:spPr>
    </xdr:pic>
    <xdr:clientData/>
  </xdr:twoCellAnchor>
  <xdr:twoCellAnchor>
    <xdr:from>
      <xdr:col>4</xdr:col>
      <xdr:colOff>3568</xdr:colOff>
      <xdr:row>5</xdr:row>
      <xdr:rowOff>161926</xdr:rowOff>
    </xdr:from>
    <xdr:to>
      <xdr:col>29</xdr:col>
      <xdr:colOff>14893</xdr:colOff>
      <xdr:row>16</xdr:row>
      <xdr:rowOff>19051</xdr:rowOff>
    </xdr:to>
    <xdr:grpSp>
      <xdr:nvGrpSpPr>
        <xdr:cNvPr id="21" name="20 Grupo">
          <a:extLst>
            <a:ext uri="{FF2B5EF4-FFF2-40B4-BE49-F238E27FC236}">
              <a16:creationId xmlns="" xmlns:a16="http://schemas.microsoft.com/office/drawing/2014/main" id="{00000000-0008-0000-0000-000015000000}"/>
            </a:ext>
          </a:extLst>
        </xdr:cNvPr>
        <xdr:cNvGrpSpPr/>
      </xdr:nvGrpSpPr>
      <xdr:grpSpPr>
        <a:xfrm>
          <a:off x="270268" y="1123951"/>
          <a:ext cx="8583825" cy="1819275"/>
          <a:chOff x="927661" y="1143099"/>
          <a:chExt cx="8639898" cy="1558644"/>
        </a:xfrm>
      </xdr:grpSpPr>
      <xdr:grpSp>
        <xdr:nvGrpSpPr>
          <xdr:cNvPr id="22" name="21 Grupo">
            <a:extLst>
              <a:ext uri="{FF2B5EF4-FFF2-40B4-BE49-F238E27FC236}">
                <a16:creationId xmlns="" xmlns:a16="http://schemas.microsoft.com/office/drawing/2014/main" id="{00000000-0008-0000-0000-000016000000}"/>
              </a:ext>
            </a:extLst>
          </xdr:cNvPr>
          <xdr:cNvGrpSpPr/>
        </xdr:nvGrpSpPr>
        <xdr:grpSpPr>
          <a:xfrm>
            <a:off x="927661" y="1143099"/>
            <a:ext cx="8639898" cy="1558644"/>
            <a:chOff x="939470" y="1152392"/>
            <a:chExt cx="8589030" cy="1588555"/>
          </a:xfrm>
        </xdr:grpSpPr>
        <xdr:sp macro="" textlink="">
          <xdr:nvSpPr>
            <xdr:cNvPr id="24" name="8 Triángulo rectángulo">
              <a:extLst>
                <a:ext uri="{FF2B5EF4-FFF2-40B4-BE49-F238E27FC236}">
                  <a16:creationId xmlns="" xmlns:a16="http://schemas.microsoft.com/office/drawing/2014/main" id="{00000000-0008-0000-0000-000018000000}"/>
                </a:ext>
              </a:extLst>
            </xdr:cNvPr>
            <xdr:cNvSpPr/>
          </xdr:nvSpPr>
          <xdr:spPr>
            <a:xfrm rot="16200000">
              <a:off x="9214445" y="2426891"/>
              <a:ext cx="267306" cy="360805"/>
            </a:xfrm>
            <a:custGeom>
              <a:avLst/>
              <a:gdLst>
                <a:gd name="connsiteX0" fmla="*/ 0 w 374543"/>
                <a:gd name="connsiteY0" fmla="*/ 398998 h 398998"/>
                <a:gd name="connsiteX1" fmla="*/ 0 w 374543"/>
                <a:gd name="connsiteY1" fmla="*/ 0 h 398998"/>
                <a:gd name="connsiteX2" fmla="*/ 374543 w 374543"/>
                <a:gd name="connsiteY2" fmla="*/ 398998 h 398998"/>
                <a:gd name="connsiteX3" fmla="*/ 0 w 374543"/>
                <a:gd name="connsiteY3" fmla="*/ 398998 h 398998"/>
                <a:gd name="connsiteX0" fmla="*/ 0 w 374543"/>
                <a:gd name="connsiteY0" fmla="*/ 398998 h 398998"/>
                <a:gd name="connsiteX1" fmla="*/ 0 w 374543"/>
                <a:gd name="connsiteY1" fmla="*/ 0 h 398998"/>
                <a:gd name="connsiteX2" fmla="*/ 119978 w 374543"/>
                <a:gd name="connsiteY2" fmla="*/ 257175 h 398998"/>
                <a:gd name="connsiteX3" fmla="*/ 374543 w 374543"/>
                <a:gd name="connsiteY3" fmla="*/ 398998 h 398998"/>
                <a:gd name="connsiteX4" fmla="*/ 0 w 374543"/>
                <a:gd name="connsiteY4" fmla="*/ 398998 h 398998"/>
                <a:gd name="connsiteX0" fmla="*/ 0 w 374543"/>
                <a:gd name="connsiteY0" fmla="*/ 398998 h 398998"/>
                <a:gd name="connsiteX1" fmla="*/ 0 w 374543"/>
                <a:gd name="connsiteY1" fmla="*/ 0 h 398998"/>
                <a:gd name="connsiteX2" fmla="*/ 72353 w 374543"/>
                <a:gd name="connsiteY2" fmla="*/ 297657 h 398998"/>
                <a:gd name="connsiteX3" fmla="*/ 374543 w 374543"/>
                <a:gd name="connsiteY3" fmla="*/ 398998 h 398998"/>
                <a:gd name="connsiteX4" fmla="*/ 0 w 374543"/>
                <a:gd name="connsiteY4" fmla="*/ 398998 h 398998"/>
                <a:gd name="connsiteX0" fmla="*/ 0 w 374543"/>
                <a:gd name="connsiteY0" fmla="*/ 398998 h 398998"/>
                <a:gd name="connsiteX1" fmla="*/ 0 w 374543"/>
                <a:gd name="connsiteY1" fmla="*/ 0 h 398998"/>
                <a:gd name="connsiteX2" fmla="*/ 100928 w 374543"/>
                <a:gd name="connsiteY2" fmla="*/ 276225 h 398998"/>
                <a:gd name="connsiteX3" fmla="*/ 374543 w 374543"/>
                <a:gd name="connsiteY3" fmla="*/ 398998 h 398998"/>
                <a:gd name="connsiteX4" fmla="*/ 0 w 374543"/>
                <a:gd name="connsiteY4" fmla="*/ 398998 h 398998"/>
                <a:gd name="connsiteX0" fmla="*/ 0 w 374543"/>
                <a:gd name="connsiteY0" fmla="*/ 398998 h 398998"/>
                <a:gd name="connsiteX1" fmla="*/ 0 w 374543"/>
                <a:gd name="connsiteY1" fmla="*/ 0 h 398998"/>
                <a:gd name="connsiteX2" fmla="*/ 100928 w 374543"/>
                <a:gd name="connsiteY2" fmla="*/ 276225 h 398998"/>
                <a:gd name="connsiteX3" fmla="*/ 374543 w 374543"/>
                <a:gd name="connsiteY3" fmla="*/ 398998 h 398998"/>
                <a:gd name="connsiteX4" fmla="*/ 0 w 374543"/>
                <a:gd name="connsiteY4" fmla="*/ 398998 h 398998"/>
                <a:gd name="connsiteX0" fmla="*/ 0 w 380528"/>
                <a:gd name="connsiteY0" fmla="*/ 398998 h 398998"/>
                <a:gd name="connsiteX1" fmla="*/ 0 w 380528"/>
                <a:gd name="connsiteY1" fmla="*/ 0 h 398998"/>
                <a:gd name="connsiteX2" fmla="*/ 100928 w 380528"/>
                <a:gd name="connsiteY2" fmla="*/ 276225 h 398998"/>
                <a:gd name="connsiteX3" fmla="*/ 217609 w 380528"/>
                <a:gd name="connsiteY3" fmla="*/ 357188 h 398998"/>
                <a:gd name="connsiteX4" fmla="*/ 374543 w 380528"/>
                <a:gd name="connsiteY4" fmla="*/ 398998 h 398998"/>
                <a:gd name="connsiteX5" fmla="*/ 0 w 380528"/>
                <a:gd name="connsiteY5" fmla="*/ 398998 h 398998"/>
                <a:gd name="connsiteX0" fmla="*/ 0 w 380528"/>
                <a:gd name="connsiteY0" fmla="*/ 405555 h 405555"/>
                <a:gd name="connsiteX1" fmla="*/ 0 w 380528"/>
                <a:gd name="connsiteY1" fmla="*/ 6557 h 405555"/>
                <a:gd name="connsiteX2" fmla="*/ 36633 w 380528"/>
                <a:gd name="connsiteY2" fmla="*/ 166101 h 405555"/>
                <a:gd name="connsiteX3" fmla="*/ 100928 w 380528"/>
                <a:gd name="connsiteY3" fmla="*/ 282782 h 405555"/>
                <a:gd name="connsiteX4" fmla="*/ 217609 w 380528"/>
                <a:gd name="connsiteY4" fmla="*/ 363745 h 405555"/>
                <a:gd name="connsiteX5" fmla="*/ 374543 w 380528"/>
                <a:gd name="connsiteY5" fmla="*/ 405555 h 405555"/>
                <a:gd name="connsiteX6" fmla="*/ 0 w 380528"/>
                <a:gd name="connsiteY6" fmla="*/ 405555 h 405555"/>
                <a:gd name="connsiteX0" fmla="*/ 0 w 380528"/>
                <a:gd name="connsiteY0" fmla="*/ 405555 h 405555"/>
                <a:gd name="connsiteX1" fmla="*/ 0 w 380528"/>
                <a:gd name="connsiteY1" fmla="*/ 6557 h 405555"/>
                <a:gd name="connsiteX2" fmla="*/ 36633 w 380528"/>
                <a:gd name="connsiteY2" fmla="*/ 166101 h 405555"/>
                <a:gd name="connsiteX3" fmla="*/ 100928 w 380528"/>
                <a:gd name="connsiteY3" fmla="*/ 282782 h 405555"/>
                <a:gd name="connsiteX4" fmla="*/ 217609 w 380528"/>
                <a:gd name="connsiteY4" fmla="*/ 363745 h 405555"/>
                <a:gd name="connsiteX5" fmla="*/ 374543 w 380528"/>
                <a:gd name="connsiteY5" fmla="*/ 405555 h 405555"/>
                <a:gd name="connsiteX6" fmla="*/ 0 w 380528"/>
                <a:gd name="connsiteY6" fmla="*/ 405555 h 405555"/>
                <a:gd name="connsiteX0" fmla="*/ 0 w 380528"/>
                <a:gd name="connsiteY0" fmla="*/ 405555 h 405555"/>
                <a:gd name="connsiteX1" fmla="*/ 0 w 380528"/>
                <a:gd name="connsiteY1" fmla="*/ 6557 h 405555"/>
                <a:gd name="connsiteX2" fmla="*/ 36633 w 380528"/>
                <a:gd name="connsiteY2" fmla="*/ 166101 h 405555"/>
                <a:gd name="connsiteX3" fmla="*/ 100928 w 380528"/>
                <a:gd name="connsiteY3" fmla="*/ 282782 h 405555"/>
                <a:gd name="connsiteX4" fmla="*/ 217609 w 380528"/>
                <a:gd name="connsiteY4" fmla="*/ 363745 h 405555"/>
                <a:gd name="connsiteX5" fmla="*/ 374543 w 380528"/>
                <a:gd name="connsiteY5" fmla="*/ 405555 h 405555"/>
                <a:gd name="connsiteX6" fmla="*/ 0 w 380528"/>
                <a:gd name="connsiteY6" fmla="*/ 405555 h 405555"/>
                <a:gd name="connsiteX0" fmla="*/ 0 w 385447"/>
                <a:gd name="connsiteY0" fmla="*/ 405555 h 405555"/>
                <a:gd name="connsiteX1" fmla="*/ 0 w 385447"/>
                <a:gd name="connsiteY1" fmla="*/ 6557 h 405555"/>
                <a:gd name="connsiteX2" fmla="*/ 36633 w 385447"/>
                <a:gd name="connsiteY2" fmla="*/ 166101 h 405555"/>
                <a:gd name="connsiteX3" fmla="*/ 100928 w 385447"/>
                <a:gd name="connsiteY3" fmla="*/ 282782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36633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36633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41501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41501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41501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4603"/>
                <a:gd name="connsiteY0" fmla="*/ 405555 h 405555"/>
                <a:gd name="connsiteX1" fmla="*/ 0 w 384603"/>
                <a:gd name="connsiteY1" fmla="*/ 6557 h 405555"/>
                <a:gd name="connsiteX2" fmla="*/ 41501 w 384603"/>
                <a:gd name="connsiteY2" fmla="*/ 166101 h 405555"/>
                <a:gd name="connsiteX3" fmla="*/ 113096 w 384603"/>
                <a:gd name="connsiteY3" fmla="*/ 269490 h 405555"/>
                <a:gd name="connsiteX4" fmla="*/ 217609 w 384603"/>
                <a:gd name="connsiteY4" fmla="*/ 363745 h 405555"/>
                <a:gd name="connsiteX5" fmla="*/ 374543 w 384603"/>
                <a:gd name="connsiteY5" fmla="*/ 405555 h 405555"/>
                <a:gd name="connsiteX6" fmla="*/ 0 w 384603"/>
                <a:gd name="connsiteY6" fmla="*/ 405555 h 405555"/>
                <a:gd name="connsiteX0" fmla="*/ 0 w 385045"/>
                <a:gd name="connsiteY0" fmla="*/ 405555 h 405555"/>
                <a:gd name="connsiteX1" fmla="*/ 0 w 385045"/>
                <a:gd name="connsiteY1" fmla="*/ 6557 h 405555"/>
                <a:gd name="connsiteX2" fmla="*/ 41501 w 385045"/>
                <a:gd name="connsiteY2" fmla="*/ 166101 h 405555"/>
                <a:gd name="connsiteX3" fmla="*/ 113096 w 385045"/>
                <a:gd name="connsiteY3" fmla="*/ 269490 h 405555"/>
                <a:gd name="connsiteX4" fmla="*/ 222475 w 385045"/>
                <a:gd name="connsiteY4" fmla="*/ 358427 h 405555"/>
                <a:gd name="connsiteX5" fmla="*/ 374543 w 385045"/>
                <a:gd name="connsiteY5" fmla="*/ 405555 h 405555"/>
                <a:gd name="connsiteX6" fmla="*/ 0 w 385045"/>
                <a:gd name="connsiteY6" fmla="*/ 405555 h 405555"/>
                <a:gd name="connsiteX0" fmla="*/ 0 w 385044"/>
                <a:gd name="connsiteY0" fmla="*/ 405555 h 405555"/>
                <a:gd name="connsiteX1" fmla="*/ 0 w 385044"/>
                <a:gd name="connsiteY1" fmla="*/ 6557 h 405555"/>
                <a:gd name="connsiteX2" fmla="*/ 41501 w 385044"/>
                <a:gd name="connsiteY2" fmla="*/ 166101 h 405555"/>
                <a:gd name="connsiteX3" fmla="*/ 113096 w 385044"/>
                <a:gd name="connsiteY3" fmla="*/ 269490 h 405555"/>
                <a:gd name="connsiteX4" fmla="*/ 222475 w 385044"/>
                <a:gd name="connsiteY4" fmla="*/ 358427 h 405555"/>
                <a:gd name="connsiteX5" fmla="*/ 374543 w 385044"/>
                <a:gd name="connsiteY5" fmla="*/ 405555 h 405555"/>
                <a:gd name="connsiteX6" fmla="*/ 0 w 385044"/>
                <a:gd name="connsiteY6" fmla="*/ 405555 h 405555"/>
                <a:gd name="connsiteX0" fmla="*/ 0 w 385044"/>
                <a:gd name="connsiteY0" fmla="*/ 405555 h 405555"/>
                <a:gd name="connsiteX1" fmla="*/ 0 w 385044"/>
                <a:gd name="connsiteY1" fmla="*/ 6557 h 405555"/>
                <a:gd name="connsiteX2" fmla="*/ 41501 w 385044"/>
                <a:gd name="connsiteY2" fmla="*/ 166101 h 405555"/>
                <a:gd name="connsiteX3" fmla="*/ 113096 w 385044"/>
                <a:gd name="connsiteY3" fmla="*/ 269490 h 405555"/>
                <a:gd name="connsiteX4" fmla="*/ 222475 w 385044"/>
                <a:gd name="connsiteY4" fmla="*/ 358427 h 405555"/>
                <a:gd name="connsiteX5" fmla="*/ 374543 w 385044"/>
                <a:gd name="connsiteY5" fmla="*/ 405555 h 405555"/>
                <a:gd name="connsiteX6" fmla="*/ 0 w 385044"/>
                <a:gd name="connsiteY6" fmla="*/ 405555 h 405555"/>
                <a:gd name="connsiteX0" fmla="*/ 0 w 387197"/>
                <a:gd name="connsiteY0" fmla="*/ 405555 h 413718"/>
                <a:gd name="connsiteX1" fmla="*/ 0 w 387197"/>
                <a:gd name="connsiteY1" fmla="*/ 6557 h 413718"/>
                <a:gd name="connsiteX2" fmla="*/ 41501 w 387197"/>
                <a:gd name="connsiteY2" fmla="*/ 166101 h 413718"/>
                <a:gd name="connsiteX3" fmla="*/ 113096 w 387197"/>
                <a:gd name="connsiteY3" fmla="*/ 269490 h 413718"/>
                <a:gd name="connsiteX4" fmla="*/ 222475 w 387197"/>
                <a:gd name="connsiteY4" fmla="*/ 358427 h 413718"/>
                <a:gd name="connsiteX5" fmla="*/ 376916 w 387197"/>
                <a:gd name="connsiteY5" fmla="*/ 413718 h 413718"/>
                <a:gd name="connsiteX6" fmla="*/ 0 w 387197"/>
                <a:gd name="connsiteY6" fmla="*/ 405555 h 413718"/>
                <a:gd name="connsiteX0" fmla="*/ 0 w 387197"/>
                <a:gd name="connsiteY0" fmla="*/ 405555 h 413718"/>
                <a:gd name="connsiteX1" fmla="*/ 0 w 387197"/>
                <a:gd name="connsiteY1" fmla="*/ 6557 h 413718"/>
                <a:gd name="connsiteX2" fmla="*/ 41501 w 387197"/>
                <a:gd name="connsiteY2" fmla="*/ 166101 h 413718"/>
                <a:gd name="connsiteX3" fmla="*/ 99367 w 387197"/>
                <a:gd name="connsiteY3" fmla="*/ 296537 h 413718"/>
                <a:gd name="connsiteX4" fmla="*/ 222475 w 387197"/>
                <a:gd name="connsiteY4" fmla="*/ 358427 h 413718"/>
                <a:gd name="connsiteX5" fmla="*/ 376916 w 387197"/>
                <a:gd name="connsiteY5" fmla="*/ 413718 h 413718"/>
                <a:gd name="connsiteX6" fmla="*/ 0 w 387197"/>
                <a:gd name="connsiteY6" fmla="*/ 405555 h 413718"/>
                <a:gd name="connsiteX0" fmla="*/ 0 w 387197"/>
                <a:gd name="connsiteY0" fmla="*/ 405555 h 413718"/>
                <a:gd name="connsiteX1" fmla="*/ 0 w 387197"/>
                <a:gd name="connsiteY1" fmla="*/ 6557 h 413718"/>
                <a:gd name="connsiteX2" fmla="*/ 41501 w 387197"/>
                <a:gd name="connsiteY2" fmla="*/ 166101 h 413718"/>
                <a:gd name="connsiteX3" fmla="*/ 99367 w 387197"/>
                <a:gd name="connsiteY3" fmla="*/ 296537 h 413718"/>
                <a:gd name="connsiteX4" fmla="*/ 222475 w 387197"/>
                <a:gd name="connsiteY4" fmla="*/ 358427 h 413718"/>
                <a:gd name="connsiteX5" fmla="*/ 376916 w 387197"/>
                <a:gd name="connsiteY5" fmla="*/ 413718 h 413718"/>
                <a:gd name="connsiteX6" fmla="*/ 0 w 387197"/>
                <a:gd name="connsiteY6" fmla="*/ 405555 h 413718"/>
                <a:gd name="connsiteX0" fmla="*/ 0 w 386334"/>
                <a:gd name="connsiteY0" fmla="*/ 405555 h 413718"/>
                <a:gd name="connsiteX1" fmla="*/ 0 w 386334"/>
                <a:gd name="connsiteY1" fmla="*/ 6557 h 413718"/>
                <a:gd name="connsiteX2" fmla="*/ 41501 w 386334"/>
                <a:gd name="connsiteY2" fmla="*/ 166101 h 413718"/>
                <a:gd name="connsiteX3" fmla="*/ 99367 w 386334"/>
                <a:gd name="connsiteY3" fmla="*/ 296537 h 413718"/>
                <a:gd name="connsiteX4" fmla="*/ 212178 w 386334"/>
                <a:gd name="connsiteY4" fmla="*/ 374656 h 413718"/>
                <a:gd name="connsiteX5" fmla="*/ 376916 w 386334"/>
                <a:gd name="connsiteY5" fmla="*/ 413718 h 413718"/>
                <a:gd name="connsiteX6" fmla="*/ 0 w 386334"/>
                <a:gd name="connsiteY6" fmla="*/ 405555 h 413718"/>
                <a:gd name="connsiteX0" fmla="*/ 0 w 386334"/>
                <a:gd name="connsiteY0" fmla="*/ 405652 h 413815"/>
                <a:gd name="connsiteX1" fmla="*/ 0 w 386334"/>
                <a:gd name="connsiteY1" fmla="*/ 6654 h 413815"/>
                <a:gd name="connsiteX2" fmla="*/ 38070 w 386334"/>
                <a:gd name="connsiteY2" fmla="*/ 163493 h 413815"/>
                <a:gd name="connsiteX3" fmla="*/ 99367 w 386334"/>
                <a:gd name="connsiteY3" fmla="*/ 296634 h 413815"/>
                <a:gd name="connsiteX4" fmla="*/ 212178 w 386334"/>
                <a:gd name="connsiteY4" fmla="*/ 374753 h 413815"/>
                <a:gd name="connsiteX5" fmla="*/ 376916 w 386334"/>
                <a:gd name="connsiteY5" fmla="*/ 413815 h 413815"/>
                <a:gd name="connsiteX6" fmla="*/ 0 w 386334"/>
                <a:gd name="connsiteY6" fmla="*/ 405652 h 413815"/>
                <a:gd name="connsiteX0" fmla="*/ 0 w 386334"/>
                <a:gd name="connsiteY0" fmla="*/ 404944 h 413107"/>
                <a:gd name="connsiteX1" fmla="*/ 0 w 386334"/>
                <a:gd name="connsiteY1" fmla="*/ 5946 h 413107"/>
                <a:gd name="connsiteX2" fmla="*/ 31211 w 386334"/>
                <a:gd name="connsiteY2" fmla="*/ 184460 h 413107"/>
                <a:gd name="connsiteX3" fmla="*/ 99367 w 386334"/>
                <a:gd name="connsiteY3" fmla="*/ 295926 h 413107"/>
                <a:gd name="connsiteX4" fmla="*/ 212178 w 386334"/>
                <a:gd name="connsiteY4" fmla="*/ 374045 h 413107"/>
                <a:gd name="connsiteX5" fmla="*/ 376916 w 386334"/>
                <a:gd name="connsiteY5" fmla="*/ 413107 h 413107"/>
                <a:gd name="connsiteX6" fmla="*/ 0 w 386334"/>
                <a:gd name="connsiteY6" fmla="*/ 404944 h 413107"/>
                <a:gd name="connsiteX0" fmla="*/ 0 w 386334"/>
                <a:gd name="connsiteY0" fmla="*/ 404369 h 412532"/>
                <a:gd name="connsiteX1" fmla="*/ 0 w 386334"/>
                <a:gd name="connsiteY1" fmla="*/ 5371 h 412532"/>
                <a:gd name="connsiteX2" fmla="*/ 34638 w 386334"/>
                <a:gd name="connsiteY2" fmla="*/ 205560 h 412532"/>
                <a:gd name="connsiteX3" fmla="*/ 99367 w 386334"/>
                <a:gd name="connsiteY3" fmla="*/ 295351 h 412532"/>
                <a:gd name="connsiteX4" fmla="*/ 212178 w 386334"/>
                <a:gd name="connsiteY4" fmla="*/ 373470 h 412532"/>
                <a:gd name="connsiteX5" fmla="*/ 376916 w 386334"/>
                <a:gd name="connsiteY5" fmla="*/ 412532 h 412532"/>
                <a:gd name="connsiteX6" fmla="*/ 0 w 386334"/>
                <a:gd name="connsiteY6" fmla="*/ 404369 h 412532"/>
                <a:gd name="connsiteX0" fmla="*/ 0 w 386334"/>
                <a:gd name="connsiteY0" fmla="*/ 404564 h 412727"/>
                <a:gd name="connsiteX1" fmla="*/ 0 w 386334"/>
                <a:gd name="connsiteY1" fmla="*/ 5566 h 412727"/>
                <a:gd name="connsiteX2" fmla="*/ 34638 w 386334"/>
                <a:gd name="connsiteY2" fmla="*/ 205755 h 412727"/>
                <a:gd name="connsiteX3" fmla="*/ 99367 w 386334"/>
                <a:gd name="connsiteY3" fmla="*/ 295546 h 412727"/>
                <a:gd name="connsiteX4" fmla="*/ 212178 w 386334"/>
                <a:gd name="connsiteY4" fmla="*/ 373665 h 412727"/>
                <a:gd name="connsiteX5" fmla="*/ 376916 w 386334"/>
                <a:gd name="connsiteY5" fmla="*/ 412727 h 412727"/>
                <a:gd name="connsiteX6" fmla="*/ 0 w 386334"/>
                <a:gd name="connsiteY6" fmla="*/ 404564 h 4127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86334" h="412727">
                  <a:moveTo>
                    <a:pt x="0" y="404564"/>
                  </a:moveTo>
                  <a:lnTo>
                    <a:pt x="0" y="5566"/>
                  </a:lnTo>
                  <a:cubicBezTo>
                    <a:pt x="8487" y="-34343"/>
                    <a:pt x="17244" y="151589"/>
                    <a:pt x="34638" y="205755"/>
                  </a:cubicBezTo>
                  <a:cubicBezTo>
                    <a:pt x="51459" y="251793"/>
                    <a:pt x="71586" y="262606"/>
                    <a:pt x="99367" y="295546"/>
                  </a:cubicBezTo>
                  <a:cubicBezTo>
                    <a:pt x="154858" y="353490"/>
                    <a:pt x="159328" y="331937"/>
                    <a:pt x="212178" y="373665"/>
                  </a:cubicBezTo>
                  <a:cubicBezTo>
                    <a:pt x="336152" y="418493"/>
                    <a:pt x="414375" y="404171"/>
                    <a:pt x="376916" y="412727"/>
                  </a:cubicBezTo>
                  <a:lnTo>
                    <a:pt x="0" y="404564"/>
                  </a:lnTo>
                  <a:close/>
                </a:path>
              </a:pathLst>
            </a:custGeom>
            <a:solidFill>
              <a:srgbClr val="03626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nvGrpSpPr>
            <xdr:cNvPr id="25" name="24 Grupo">
              <a:extLst>
                <a:ext uri="{FF2B5EF4-FFF2-40B4-BE49-F238E27FC236}">
                  <a16:creationId xmlns="" xmlns:a16="http://schemas.microsoft.com/office/drawing/2014/main" id="{00000000-0008-0000-0000-000019000000}"/>
                </a:ext>
              </a:extLst>
            </xdr:cNvPr>
            <xdr:cNvGrpSpPr/>
          </xdr:nvGrpSpPr>
          <xdr:grpSpPr>
            <a:xfrm>
              <a:off x="939470" y="1152392"/>
              <a:ext cx="8579692" cy="1565805"/>
              <a:chOff x="939470" y="1152392"/>
              <a:chExt cx="8579692" cy="1565805"/>
            </a:xfrm>
          </xdr:grpSpPr>
          <xdr:sp macro="" textlink="">
            <xdr:nvSpPr>
              <xdr:cNvPr id="26" name="8 Triángulo rectángulo">
                <a:extLst>
                  <a:ext uri="{FF2B5EF4-FFF2-40B4-BE49-F238E27FC236}">
                    <a16:creationId xmlns="" xmlns:a16="http://schemas.microsoft.com/office/drawing/2014/main" id="{00000000-0008-0000-0000-00001A000000}"/>
                  </a:ext>
                </a:extLst>
              </xdr:cNvPr>
              <xdr:cNvSpPr/>
            </xdr:nvSpPr>
            <xdr:spPr>
              <a:xfrm flipH="1" flipV="1">
                <a:off x="9141468" y="1152392"/>
                <a:ext cx="377694" cy="250111"/>
              </a:xfrm>
              <a:custGeom>
                <a:avLst/>
                <a:gdLst>
                  <a:gd name="connsiteX0" fmla="*/ 0 w 374543"/>
                  <a:gd name="connsiteY0" fmla="*/ 398998 h 398998"/>
                  <a:gd name="connsiteX1" fmla="*/ 0 w 374543"/>
                  <a:gd name="connsiteY1" fmla="*/ 0 h 398998"/>
                  <a:gd name="connsiteX2" fmla="*/ 374543 w 374543"/>
                  <a:gd name="connsiteY2" fmla="*/ 398998 h 398998"/>
                  <a:gd name="connsiteX3" fmla="*/ 0 w 374543"/>
                  <a:gd name="connsiteY3" fmla="*/ 398998 h 398998"/>
                  <a:gd name="connsiteX0" fmla="*/ 0 w 374543"/>
                  <a:gd name="connsiteY0" fmla="*/ 398998 h 398998"/>
                  <a:gd name="connsiteX1" fmla="*/ 0 w 374543"/>
                  <a:gd name="connsiteY1" fmla="*/ 0 h 398998"/>
                  <a:gd name="connsiteX2" fmla="*/ 119978 w 374543"/>
                  <a:gd name="connsiteY2" fmla="*/ 257175 h 398998"/>
                  <a:gd name="connsiteX3" fmla="*/ 374543 w 374543"/>
                  <a:gd name="connsiteY3" fmla="*/ 398998 h 398998"/>
                  <a:gd name="connsiteX4" fmla="*/ 0 w 374543"/>
                  <a:gd name="connsiteY4" fmla="*/ 398998 h 398998"/>
                  <a:gd name="connsiteX0" fmla="*/ 0 w 374543"/>
                  <a:gd name="connsiteY0" fmla="*/ 398998 h 398998"/>
                  <a:gd name="connsiteX1" fmla="*/ 0 w 374543"/>
                  <a:gd name="connsiteY1" fmla="*/ 0 h 398998"/>
                  <a:gd name="connsiteX2" fmla="*/ 72353 w 374543"/>
                  <a:gd name="connsiteY2" fmla="*/ 297657 h 398998"/>
                  <a:gd name="connsiteX3" fmla="*/ 374543 w 374543"/>
                  <a:gd name="connsiteY3" fmla="*/ 398998 h 398998"/>
                  <a:gd name="connsiteX4" fmla="*/ 0 w 374543"/>
                  <a:gd name="connsiteY4" fmla="*/ 398998 h 398998"/>
                  <a:gd name="connsiteX0" fmla="*/ 0 w 374543"/>
                  <a:gd name="connsiteY0" fmla="*/ 398998 h 398998"/>
                  <a:gd name="connsiteX1" fmla="*/ 0 w 374543"/>
                  <a:gd name="connsiteY1" fmla="*/ 0 h 398998"/>
                  <a:gd name="connsiteX2" fmla="*/ 100928 w 374543"/>
                  <a:gd name="connsiteY2" fmla="*/ 276225 h 398998"/>
                  <a:gd name="connsiteX3" fmla="*/ 374543 w 374543"/>
                  <a:gd name="connsiteY3" fmla="*/ 398998 h 398998"/>
                  <a:gd name="connsiteX4" fmla="*/ 0 w 374543"/>
                  <a:gd name="connsiteY4" fmla="*/ 398998 h 398998"/>
                  <a:gd name="connsiteX0" fmla="*/ 0 w 374543"/>
                  <a:gd name="connsiteY0" fmla="*/ 398998 h 398998"/>
                  <a:gd name="connsiteX1" fmla="*/ 0 w 374543"/>
                  <a:gd name="connsiteY1" fmla="*/ 0 h 398998"/>
                  <a:gd name="connsiteX2" fmla="*/ 100928 w 374543"/>
                  <a:gd name="connsiteY2" fmla="*/ 276225 h 398998"/>
                  <a:gd name="connsiteX3" fmla="*/ 374543 w 374543"/>
                  <a:gd name="connsiteY3" fmla="*/ 398998 h 398998"/>
                  <a:gd name="connsiteX4" fmla="*/ 0 w 374543"/>
                  <a:gd name="connsiteY4" fmla="*/ 398998 h 398998"/>
                  <a:gd name="connsiteX0" fmla="*/ 0 w 380528"/>
                  <a:gd name="connsiteY0" fmla="*/ 398998 h 398998"/>
                  <a:gd name="connsiteX1" fmla="*/ 0 w 380528"/>
                  <a:gd name="connsiteY1" fmla="*/ 0 h 398998"/>
                  <a:gd name="connsiteX2" fmla="*/ 100928 w 380528"/>
                  <a:gd name="connsiteY2" fmla="*/ 276225 h 398998"/>
                  <a:gd name="connsiteX3" fmla="*/ 217609 w 380528"/>
                  <a:gd name="connsiteY3" fmla="*/ 357188 h 398998"/>
                  <a:gd name="connsiteX4" fmla="*/ 374543 w 380528"/>
                  <a:gd name="connsiteY4" fmla="*/ 398998 h 398998"/>
                  <a:gd name="connsiteX5" fmla="*/ 0 w 380528"/>
                  <a:gd name="connsiteY5" fmla="*/ 398998 h 398998"/>
                  <a:gd name="connsiteX0" fmla="*/ 0 w 380528"/>
                  <a:gd name="connsiteY0" fmla="*/ 405555 h 405555"/>
                  <a:gd name="connsiteX1" fmla="*/ 0 w 380528"/>
                  <a:gd name="connsiteY1" fmla="*/ 6557 h 405555"/>
                  <a:gd name="connsiteX2" fmla="*/ 36633 w 380528"/>
                  <a:gd name="connsiteY2" fmla="*/ 166101 h 405555"/>
                  <a:gd name="connsiteX3" fmla="*/ 100928 w 380528"/>
                  <a:gd name="connsiteY3" fmla="*/ 282782 h 405555"/>
                  <a:gd name="connsiteX4" fmla="*/ 217609 w 380528"/>
                  <a:gd name="connsiteY4" fmla="*/ 363745 h 405555"/>
                  <a:gd name="connsiteX5" fmla="*/ 374543 w 380528"/>
                  <a:gd name="connsiteY5" fmla="*/ 405555 h 405555"/>
                  <a:gd name="connsiteX6" fmla="*/ 0 w 380528"/>
                  <a:gd name="connsiteY6" fmla="*/ 405555 h 405555"/>
                  <a:gd name="connsiteX0" fmla="*/ 0 w 380528"/>
                  <a:gd name="connsiteY0" fmla="*/ 405555 h 405555"/>
                  <a:gd name="connsiteX1" fmla="*/ 0 w 380528"/>
                  <a:gd name="connsiteY1" fmla="*/ 6557 h 405555"/>
                  <a:gd name="connsiteX2" fmla="*/ 36633 w 380528"/>
                  <a:gd name="connsiteY2" fmla="*/ 166101 h 405555"/>
                  <a:gd name="connsiteX3" fmla="*/ 100928 w 380528"/>
                  <a:gd name="connsiteY3" fmla="*/ 282782 h 405555"/>
                  <a:gd name="connsiteX4" fmla="*/ 217609 w 380528"/>
                  <a:gd name="connsiteY4" fmla="*/ 363745 h 405555"/>
                  <a:gd name="connsiteX5" fmla="*/ 374543 w 380528"/>
                  <a:gd name="connsiteY5" fmla="*/ 405555 h 405555"/>
                  <a:gd name="connsiteX6" fmla="*/ 0 w 380528"/>
                  <a:gd name="connsiteY6" fmla="*/ 405555 h 405555"/>
                  <a:gd name="connsiteX0" fmla="*/ 0 w 380528"/>
                  <a:gd name="connsiteY0" fmla="*/ 405555 h 405555"/>
                  <a:gd name="connsiteX1" fmla="*/ 0 w 380528"/>
                  <a:gd name="connsiteY1" fmla="*/ 6557 h 405555"/>
                  <a:gd name="connsiteX2" fmla="*/ 36633 w 380528"/>
                  <a:gd name="connsiteY2" fmla="*/ 166101 h 405555"/>
                  <a:gd name="connsiteX3" fmla="*/ 100928 w 380528"/>
                  <a:gd name="connsiteY3" fmla="*/ 282782 h 405555"/>
                  <a:gd name="connsiteX4" fmla="*/ 217609 w 380528"/>
                  <a:gd name="connsiteY4" fmla="*/ 363745 h 405555"/>
                  <a:gd name="connsiteX5" fmla="*/ 374543 w 380528"/>
                  <a:gd name="connsiteY5" fmla="*/ 405555 h 405555"/>
                  <a:gd name="connsiteX6" fmla="*/ 0 w 380528"/>
                  <a:gd name="connsiteY6" fmla="*/ 405555 h 405555"/>
                  <a:gd name="connsiteX0" fmla="*/ 0 w 385447"/>
                  <a:gd name="connsiteY0" fmla="*/ 405555 h 405555"/>
                  <a:gd name="connsiteX1" fmla="*/ 0 w 385447"/>
                  <a:gd name="connsiteY1" fmla="*/ 6557 h 405555"/>
                  <a:gd name="connsiteX2" fmla="*/ 36633 w 385447"/>
                  <a:gd name="connsiteY2" fmla="*/ 166101 h 405555"/>
                  <a:gd name="connsiteX3" fmla="*/ 100928 w 385447"/>
                  <a:gd name="connsiteY3" fmla="*/ 282782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36633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36633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41501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41501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41501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4603"/>
                  <a:gd name="connsiteY0" fmla="*/ 405555 h 405555"/>
                  <a:gd name="connsiteX1" fmla="*/ 0 w 384603"/>
                  <a:gd name="connsiteY1" fmla="*/ 6557 h 405555"/>
                  <a:gd name="connsiteX2" fmla="*/ 41501 w 384603"/>
                  <a:gd name="connsiteY2" fmla="*/ 166101 h 405555"/>
                  <a:gd name="connsiteX3" fmla="*/ 113096 w 384603"/>
                  <a:gd name="connsiteY3" fmla="*/ 269490 h 405555"/>
                  <a:gd name="connsiteX4" fmla="*/ 217609 w 384603"/>
                  <a:gd name="connsiteY4" fmla="*/ 363745 h 405555"/>
                  <a:gd name="connsiteX5" fmla="*/ 374543 w 384603"/>
                  <a:gd name="connsiteY5" fmla="*/ 405555 h 405555"/>
                  <a:gd name="connsiteX6" fmla="*/ 0 w 384603"/>
                  <a:gd name="connsiteY6" fmla="*/ 405555 h 405555"/>
                  <a:gd name="connsiteX0" fmla="*/ 0 w 385045"/>
                  <a:gd name="connsiteY0" fmla="*/ 405555 h 405555"/>
                  <a:gd name="connsiteX1" fmla="*/ 0 w 385045"/>
                  <a:gd name="connsiteY1" fmla="*/ 6557 h 405555"/>
                  <a:gd name="connsiteX2" fmla="*/ 41501 w 385045"/>
                  <a:gd name="connsiteY2" fmla="*/ 166101 h 405555"/>
                  <a:gd name="connsiteX3" fmla="*/ 113096 w 385045"/>
                  <a:gd name="connsiteY3" fmla="*/ 269490 h 405555"/>
                  <a:gd name="connsiteX4" fmla="*/ 222475 w 385045"/>
                  <a:gd name="connsiteY4" fmla="*/ 358427 h 405555"/>
                  <a:gd name="connsiteX5" fmla="*/ 374543 w 385045"/>
                  <a:gd name="connsiteY5" fmla="*/ 405555 h 405555"/>
                  <a:gd name="connsiteX6" fmla="*/ 0 w 385045"/>
                  <a:gd name="connsiteY6" fmla="*/ 405555 h 405555"/>
                  <a:gd name="connsiteX0" fmla="*/ 0 w 385044"/>
                  <a:gd name="connsiteY0" fmla="*/ 405555 h 405555"/>
                  <a:gd name="connsiteX1" fmla="*/ 0 w 385044"/>
                  <a:gd name="connsiteY1" fmla="*/ 6557 h 405555"/>
                  <a:gd name="connsiteX2" fmla="*/ 41501 w 385044"/>
                  <a:gd name="connsiteY2" fmla="*/ 166101 h 405555"/>
                  <a:gd name="connsiteX3" fmla="*/ 113096 w 385044"/>
                  <a:gd name="connsiteY3" fmla="*/ 269490 h 405555"/>
                  <a:gd name="connsiteX4" fmla="*/ 222475 w 385044"/>
                  <a:gd name="connsiteY4" fmla="*/ 358427 h 405555"/>
                  <a:gd name="connsiteX5" fmla="*/ 374543 w 385044"/>
                  <a:gd name="connsiteY5" fmla="*/ 405555 h 405555"/>
                  <a:gd name="connsiteX6" fmla="*/ 0 w 385044"/>
                  <a:gd name="connsiteY6" fmla="*/ 405555 h 405555"/>
                  <a:gd name="connsiteX0" fmla="*/ 0 w 385044"/>
                  <a:gd name="connsiteY0" fmla="*/ 405555 h 405555"/>
                  <a:gd name="connsiteX1" fmla="*/ 0 w 385044"/>
                  <a:gd name="connsiteY1" fmla="*/ 6557 h 405555"/>
                  <a:gd name="connsiteX2" fmla="*/ 41501 w 385044"/>
                  <a:gd name="connsiteY2" fmla="*/ 166101 h 405555"/>
                  <a:gd name="connsiteX3" fmla="*/ 113096 w 385044"/>
                  <a:gd name="connsiteY3" fmla="*/ 269490 h 405555"/>
                  <a:gd name="connsiteX4" fmla="*/ 222475 w 385044"/>
                  <a:gd name="connsiteY4" fmla="*/ 358427 h 405555"/>
                  <a:gd name="connsiteX5" fmla="*/ 374543 w 385044"/>
                  <a:gd name="connsiteY5" fmla="*/ 405555 h 405555"/>
                  <a:gd name="connsiteX6" fmla="*/ 0 w 385044"/>
                  <a:gd name="connsiteY6" fmla="*/ 405555 h 405555"/>
                  <a:gd name="connsiteX0" fmla="*/ 0 w 387197"/>
                  <a:gd name="connsiteY0" fmla="*/ 405555 h 413718"/>
                  <a:gd name="connsiteX1" fmla="*/ 0 w 387197"/>
                  <a:gd name="connsiteY1" fmla="*/ 6557 h 413718"/>
                  <a:gd name="connsiteX2" fmla="*/ 41501 w 387197"/>
                  <a:gd name="connsiteY2" fmla="*/ 166101 h 413718"/>
                  <a:gd name="connsiteX3" fmla="*/ 113096 w 387197"/>
                  <a:gd name="connsiteY3" fmla="*/ 269490 h 413718"/>
                  <a:gd name="connsiteX4" fmla="*/ 222475 w 387197"/>
                  <a:gd name="connsiteY4" fmla="*/ 358427 h 413718"/>
                  <a:gd name="connsiteX5" fmla="*/ 376916 w 387197"/>
                  <a:gd name="connsiteY5" fmla="*/ 413718 h 413718"/>
                  <a:gd name="connsiteX6" fmla="*/ 0 w 387197"/>
                  <a:gd name="connsiteY6" fmla="*/ 405555 h 413718"/>
                  <a:gd name="connsiteX0" fmla="*/ 0 w 376916"/>
                  <a:gd name="connsiteY0" fmla="*/ 405555 h 413979"/>
                  <a:gd name="connsiteX1" fmla="*/ 0 w 376916"/>
                  <a:gd name="connsiteY1" fmla="*/ 6557 h 413979"/>
                  <a:gd name="connsiteX2" fmla="*/ 41501 w 376916"/>
                  <a:gd name="connsiteY2" fmla="*/ 166101 h 413979"/>
                  <a:gd name="connsiteX3" fmla="*/ 113096 w 376916"/>
                  <a:gd name="connsiteY3" fmla="*/ 269490 h 413979"/>
                  <a:gd name="connsiteX4" fmla="*/ 222475 w 376916"/>
                  <a:gd name="connsiteY4" fmla="*/ 358427 h 413979"/>
                  <a:gd name="connsiteX5" fmla="*/ 376916 w 376916"/>
                  <a:gd name="connsiteY5" fmla="*/ 413718 h 413979"/>
                  <a:gd name="connsiteX6" fmla="*/ 0 w 376916"/>
                  <a:gd name="connsiteY6" fmla="*/ 405555 h 413979"/>
                  <a:gd name="connsiteX0" fmla="*/ 0 w 376916"/>
                  <a:gd name="connsiteY0" fmla="*/ 405555 h 413861"/>
                  <a:gd name="connsiteX1" fmla="*/ 0 w 376916"/>
                  <a:gd name="connsiteY1" fmla="*/ 6557 h 413861"/>
                  <a:gd name="connsiteX2" fmla="*/ 41501 w 376916"/>
                  <a:gd name="connsiteY2" fmla="*/ 166101 h 413861"/>
                  <a:gd name="connsiteX3" fmla="*/ 113096 w 376916"/>
                  <a:gd name="connsiteY3" fmla="*/ 269490 h 413861"/>
                  <a:gd name="connsiteX4" fmla="*/ 222475 w 376916"/>
                  <a:gd name="connsiteY4" fmla="*/ 358427 h 413861"/>
                  <a:gd name="connsiteX5" fmla="*/ 376916 w 376916"/>
                  <a:gd name="connsiteY5" fmla="*/ 413718 h 413861"/>
                  <a:gd name="connsiteX6" fmla="*/ 0 w 376916"/>
                  <a:gd name="connsiteY6" fmla="*/ 405555 h 413861"/>
                  <a:gd name="connsiteX0" fmla="*/ 0 w 376916"/>
                  <a:gd name="connsiteY0" fmla="*/ 405555 h 413861"/>
                  <a:gd name="connsiteX1" fmla="*/ 0 w 376916"/>
                  <a:gd name="connsiteY1" fmla="*/ 6557 h 413861"/>
                  <a:gd name="connsiteX2" fmla="*/ 41501 w 376916"/>
                  <a:gd name="connsiteY2" fmla="*/ 166101 h 413861"/>
                  <a:gd name="connsiteX3" fmla="*/ 113096 w 376916"/>
                  <a:gd name="connsiteY3" fmla="*/ 269490 h 413861"/>
                  <a:gd name="connsiteX4" fmla="*/ 222475 w 376916"/>
                  <a:gd name="connsiteY4" fmla="*/ 358427 h 413861"/>
                  <a:gd name="connsiteX5" fmla="*/ 376916 w 376916"/>
                  <a:gd name="connsiteY5" fmla="*/ 413718 h 413861"/>
                  <a:gd name="connsiteX6" fmla="*/ 0 w 376916"/>
                  <a:gd name="connsiteY6" fmla="*/ 405555 h 413861"/>
                  <a:gd name="connsiteX0" fmla="*/ 0 w 376916"/>
                  <a:gd name="connsiteY0" fmla="*/ 405555 h 414136"/>
                  <a:gd name="connsiteX1" fmla="*/ 0 w 376916"/>
                  <a:gd name="connsiteY1" fmla="*/ 6557 h 414136"/>
                  <a:gd name="connsiteX2" fmla="*/ 41501 w 376916"/>
                  <a:gd name="connsiteY2" fmla="*/ 166101 h 414136"/>
                  <a:gd name="connsiteX3" fmla="*/ 113096 w 376916"/>
                  <a:gd name="connsiteY3" fmla="*/ 269490 h 414136"/>
                  <a:gd name="connsiteX4" fmla="*/ 208293 w 376916"/>
                  <a:gd name="connsiteY4" fmla="*/ 378055 h 414136"/>
                  <a:gd name="connsiteX5" fmla="*/ 376916 w 376916"/>
                  <a:gd name="connsiteY5" fmla="*/ 413718 h 414136"/>
                  <a:gd name="connsiteX6" fmla="*/ 0 w 376916"/>
                  <a:gd name="connsiteY6" fmla="*/ 405555 h 414136"/>
                  <a:gd name="connsiteX0" fmla="*/ 0 w 376916"/>
                  <a:gd name="connsiteY0" fmla="*/ 405555 h 413917"/>
                  <a:gd name="connsiteX1" fmla="*/ 0 w 376916"/>
                  <a:gd name="connsiteY1" fmla="*/ 6557 h 413917"/>
                  <a:gd name="connsiteX2" fmla="*/ 41501 w 376916"/>
                  <a:gd name="connsiteY2" fmla="*/ 166101 h 413917"/>
                  <a:gd name="connsiteX3" fmla="*/ 113096 w 376916"/>
                  <a:gd name="connsiteY3" fmla="*/ 269490 h 413917"/>
                  <a:gd name="connsiteX4" fmla="*/ 208293 w 376916"/>
                  <a:gd name="connsiteY4" fmla="*/ 378055 h 413917"/>
                  <a:gd name="connsiteX5" fmla="*/ 376916 w 376916"/>
                  <a:gd name="connsiteY5" fmla="*/ 413718 h 413917"/>
                  <a:gd name="connsiteX6" fmla="*/ 0 w 376916"/>
                  <a:gd name="connsiteY6" fmla="*/ 405555 h 413917"/>
                  <a:gd name="connsiteX0" fmla="*/ 0 w 376916"/>
                  <a:gd name="connsiteY0" fmla="*/ 405555 h 413915"/>
                  <a:gd name="connsiteX1" fmla="*/ 0 w 376916"/>
                  <a:gd name="connsiteY1" fmla="*/ 6557 h 413915"/>
                  <a:gd name="connsiteX2" fmla="*/ 41501 w 376916"/>
                  <a:gd name="connsiteY2" fmla="*/ 166101 h 413915"/>
                  <a:gd name="connsiteX3" fmla="*/ 113096 w 376916"/>
                  <a:gd name="connsiteY3" fmla="*/ 269490 h 413915"/>
                  <a:gd name="connsiteX4" fmla="*/ 208293 w 376916"/>
                  <a:gd name="connsiteY4" fmla="*/ 378055 h 413915"/>
                  <a:gd name="connsiteX5" fmla="*/ 376916 w 376916"/>
                  <a:gd name="connsiteY5" fmla="*/ 413718 h 413915"/>
                  <a:gd name="connsiteX6" fmla="*/ 0 w 376916"/>
                  <a:gd name="connsiteY6" fmla="*/ 405555 h 413915"/>
                  <a:gd name="connsiteX0" fmla="*/ 0 w 376916"/>
                  <a:gd name="connsiteY0" fmla="*/ 405555 h 413917"/>
                  <a:gd name="connsiteX1" fmla="*/ 0 w 376916"/>
                  <a:gd name="connsiteY1" fmla="*/ 6557 h 413917"/>
                  <a:gd name="connsiteX2" fmla="*/ 41501 w 376916"/>
                  <a:gd name="connsiteY2" fmla="*/ 166101 h 413917"/>
                  <a:gd name="connsiteX3" fmla="*/ 101278 w 376916"/>
                  <a:gd name="connsiteY3" fmla="*/ 285194 h 413917"/>
                  <a:gd name="connsiteX4" fmla="*/ 208293 w 376916"/>
                  <a:gd name="connsiteY4" fmla="*/ 378055 h 413917"/>
                  <a:gd name="connsiteX5" fmla="*/ 376916 w 376916"/>
                  <a:gd name="connsiteY5" fmla="*/ 413718 h 413917"/>
                  <a:gd name="connsiteX6" fmla="*/ 0 w 376916"/>
                  <a:gd name="connsiteY6" fmla="*/ 405555 h 4139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76916" h="413917">
                    <a:moveTo>
                      <a:pt x="0" y="405555"/>
                    </a:moveTo>
                    <a:lnTo>
                      <a:pt x="0" y="6557"/>
                    </a:lnTo>
                    <a:cubicBezTo>
                      <a:pt x="8487" y="-33352"/>
                      <a:pt x="10393" y="120063"/>
                      <a:pt x="41501" y="166101"/>
                    </a:cubicBezTo>
                    <a:cubicBezTo>
                      <a:pt x="58322" y="212139"/>
                      <a:pt x="73497" y="252254"/>
                      <a:pt x="101278" y="285194"/>
                    </a:cubicBezTo>
                    <a:cubicBezTo>
                      <a:pt x="153339" y="343138"/>
                      <a:pt x="157785" y="356268"/>
                      <a:pt x="208293" y="378055"/>
                    </a:cubicBezTo>
                    <a:cubicBezTo>
                      <a:pt x="235089" y="397502"/>
                      <a:pt x="364529" y="416045"/>
                      <a:pt x="376916" y="413718"/>
                    </a:cubicBezTo>
                    <a:lnTo>
                      <a:pt x="0" y="405555"/>
                    </a:lnTo>
                    <a:close/>
                  </a:path>
                </a:pathLst>
              </a:custGeom>
              <a:solidFill>
                <a:srgbClr val="03626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26 Redondear rectángulo de esquina del mismo lado">
                <a:extLst>
                  <a:ext uri="{FF2B5EF4-FFF2-40B4-BE49-F238E27FC236}">
                    <a16:creationId xmlns="" xmlns:a16="http://schemas.microsoft.com/office/drawing/2014/main" id="{00000000-0008-0000-0000-00001B000000}"/>
                  </a:ext>
                </a:extLst>
              </xdr:cNvPr>
              <xdr:cNvSpPr/>
            </xdr:nvSpPr>
            <xdr:spPr>
              <a:xfrm rot="5400000">
                <a:off x="4454819" y="-2345152"/>
                <a:ext cx="1548000" cy="8578698"/>
              </a:xfrm>
              <a:prstGeom prst="round2SameRect">
                <a:avLst/>
              </a:prstGeom>
              <a:noFill/>
              <a:ln w="28575">
                <a:solidFill>
                  <a:srgbClr val="87CFC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grpSp>
      <xdr:cxnSp macro="">
        <xdr:nvCxnSpPr>
          <xdr:cNvPr id="23" name="22 Conector recto">
            <a:extLst>
              <a:ext uri="{FF2B5EF4-FFF2-40B4-BE49-F238E27FC236}">
                <a16:creationId xmlns="" xmlns:a16="http://schemas.microsoft.com/office/drawing/2014/main" id="{00000000-0008-0000-0000-000017000000}"/>
              </a:ext>
            </a:extLst>
          </xdr:cNvPr>
          <xdr:cNvCxnSpPr/>
        </xdr:nvCxnSpPr>
        <xdr:spPr>
          <a:xfrm flipH="1">
            <a:off x="945237" y="1185177"/>
            <a:ext cx="0" cy="1483200"/>
          </a:xfrm>
          <a:prstGeom prst="line">
            <a:avLst/>
          </a:prstGeom>
          <a:ln w="571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9526</xdr:colOff>
      <xdr:row>18</xdr:row>
      <xdr:rowOff>126797</xdr:rowOff>
    </xdr:from>
    <xdr:to>
      <xdr:col>29</xdr:col>
      <xdr:colOff>20850</xdr:colOff>
      <xdr:row>32</xdr:row>
      <xdr:rowOff>17744</xdr:rowOff>
    </xdr:to>
    <xdr:grpSp>
      <xdr:nvGrpSpPr>
        <xdr:cNvPr id="28" name="27 Grupo">
          <a:extLst>
            <a:ext uri="{FF2B5EF4-FFF2-40B4-BE49-F238E27FC236}">
              <a16:creationId xmlns="" xmlns:a16="http://schemas.microsoft.com/office/drawing/2014/main" id="{00000000-0008-0000-0000-00001C000000}"/>
            </a:ext>
          </a:extLst>
        </xdr:cNvPr>
        <xdr:cNvGrpSpPr/>
      </xdr:nvGrpSpPr>
      <xdr:grpSpPr>
        <a:xfrm>
          <a:off x="276226" y="3393872"/>
          <a:ext cx="8583824" cy="2529372"/>
          <a:chOff x="903233" y="1143101"/>
          <a:chExt cx="8412374" cy="1558641"/>
        </a:xfrm>
      </xdr:grpSpPr>
      <xdr:grpSp>
        <xdr:nvGrpSpPr>
          <xdr:cNvPr id="29" name="28 Grupo">
            <a:extLst>
              <a:ext uri="{FF2B5EF4-FFF2-40B4-BE49-F238E27FC236}">
                <a16:creationId xmlns="" xmlns:a16="http://schemas.microsoft.com/office/drawing/2014/main" id="{00000000-0008-0000-0000-00001D000000}"/>
              </a:ext>
            </a:extLst>
          </xdr:cNvPr>
          <xdr:cNvGrpSpPr/>
        </xdr:nvGrpSpPr>
        <xdr:grpSpPr>
          <a:xfrm>
            <a:off x="903233" y="1143101"/>
            <a:ext cx="8412374" cy="1558641"/>
            <a:chOff x="939471" y="1152393"/>
            <a:chExt cx="8589029" cy="1588553"/>
          </a:xfrm>
        </xdr:grpSpPr>
        <xdr:sp macro="" textlink="">
          <xdr:nvSpPr>
            <xdr:cNvPr id="31" name="8 Triángulo rectángulo">
              <a:extLst>
                <a:ext uri="{FF2B5EF4-FFF2-40B4-BE49-F238E27FC236}">
                  <a16:creationId xmlns="" xmlns:a16="http://schemas.microsoft.com/office/drawing/2014/main" id="{00000000-0008-0000-0000-00001F000000}"/>
                </a:ext>
              </a:extLst>
            </xdr:cNvPr>
            <xdr:cNvSpPr/>
          </xdr:nvSpPr>
          <xdr:spPr>
            <a:xfrm rot="16200000">
              <a:off x="9194742" y="2407189"/>
              <a:ext cx="267441" cy="400074"/>
            </a:xfrm>
            <a:custGeom>
              <a:avLst/>
              <a:gdLst>
                <a:gd name="connsiteX0" fmla="*/ 0 w 374543"/>
                <a:gd name="connsiteY0" fmla="*/ 398998 h 398998"/>
                <a:gd name="connsiteX1" fmla="*/ 0 w 374543"/>
                <a:gd name="connsiteY1" fmla="*/ 0 h 398998"/>
                <a:gd name="connsiteX2" fmla="*/ 374543 w 374543"/>
                <a:gd name="connsiteY2" fmla="*/ 398998 h 398998"/>
                <a:gd name="connsiteX3" fmla="*/ 0 w 374543"/>
                <a:gd name="connsiteY3" fmla="*/ 398998 h 398998"/>
                <a:gd name="connsiteX0" fmla="*/ 0 w 374543"/>
                <a:gd name="connsiteY0" fmla="*/ 398998 h 398998"/>
                <a:gd name="connsiteX1" fmla="*/ 0 w 374543"/>
                <a:gd name="connsiteY1" fmla="*/ 0 h 398998"/>
                <a:gd name="connsiteX2" fmla="*/ 119978 w 374543"/>
                <a:gd name="connsiteY2" fmla="*/ 257175 h 398998"/>
                <a:gd name="connsiteX3" fmla="*/ 374543 w 374543"/>
                <a:gd name="connsiteY3" fmla="*/ 398998 h 398998"/>
                <a:gd name="connsiteX4" fmla="*/ 0 w 374543"/>
                <a:gd name="connsiteY4" fmla="*/ 398998 h 398998"/>
                <a:gd name="connsiteX0" fmla="*/ 0 w 374543"/>
                <a:gd name="connsiteY0" fmla="*/ 398998 h 398998"/>
                <a:gd name="connsiteX1" fmla="*/ 0 w 374543"/>
                <a:gd name="connsiteY1" fmla="*/ 0 h 398998"/>
                <a:gd name="connsiteX2" fmla="*/ 72353 w 374543"/>
                <a:gd name="connsiteY2" fmla="*/ 297657 h 398998"/>
                <a:gd name="connsiteX3" fmla="*/ 374543 w 374543"/>
                <a:gd name="connsiteY3" fmla="*/ 398998 h 398998"/>
                <a:gd name="connsiteX4" fmla="*/ 0 w 374543"/>
                <a:gd name="connsiteY4" fmla="*/ 398998 h 398998"/>
                <a:gd name="connsiteX0" fmla="*/ 0 w 374543"/>
                <a:gd name="connsiteY0" fmla="*/ 398998 h 398998"/>
                <a:gd name="connsiteX1" fmla="*/ 0 w 374543"/>
                <a:gd name="connsiteY1" fmla="*/ 0 h 398998"/>
                <a:gd name="connsiteX2" fmla="*/ 100928 w 374543"/>
                <a:gd name="connsiteY2" fmla="*/ 276225 h 398998"/>
                <a:gd name="connsiteX3" fmla="*/ 374543 w 374543"/>
                <a:gd name="connsiteY3" fmla="*/ 398998 h 398998"/>
                <a:gd name="connsiteX4" fmla="*/ 0 w 374543"/>
                <a:gd name="connsiteY4" fmla="*/ 398998 h 398998"/>
                <a:gd name="connsiteX0" fmla="*/ 0 w 374543"/>
                <a:gd name="connsiteY0" fmla="*/ 398998 h 398998"/>
                <a:gd name="connsiteX1" fmla="*/ 0 w 374543"/>
                <a:gd name="connsiteY1" fmla="*/ 0 h 398998"/>
                <a:gd name="connsiteX2" fmla="*/ 100928 w 374543"/>
                <a:gd name="connsiteY2" fmla="*/ 276225 h 398998"/>
                <a:gd name="connsiteX3" fmla="*/ 374543 w 374543"/>
                <a:gd name="connsiteY3" fmla="*/ 398998 h 398998"/>
                <a:gd name="connsiteX4" fmla="*/ 0 w 374543"/>
                <a:gd name="connsiteY4" fmla="*/ 398998 h 398998"/>
                <a:gd name="connsiteX0" fmla="*/ 0 w 380528"/>
                <a:gd name="connsiteY0" fmla="*/ 398998 h 398998"/>
                <a:gd name="connsiteX1" fmla="*/ 0 w 380528"/>
                <a:gd name="connsiteY1" fmla="*/ 0 h 398998"/>
                <a:gd name="connsiteX2" fmla="*/ 100928 w 380528"/>
                <a:gd name="connsiteY2" fmla="*/ 276225 h 398998"/>
                <a:gd name="connsiteX3" fmla="*/ 217609 w 380528"/>
                <a:gd name="connsiteY3" fmla="*/ 357188 h 398998"/>
                <a:gd name="connsiteX4" fmla="*/ 374543 w 380528"/>
                <a:gd name="connsiteY4" fmla="*/ 398998 h 398998"/>
                <a:gd name="connsiteX5" fmla="*/ 0 w 380528"/>
                <a:gd name="connsiteY5" fmla="*/ 398998 h 398998"/>
                <a:gd name="connsiteX0" fmla="*/ 0 w 380528"/>
                <a:gd name="connsiteY0" fmla="*/ 405555 h 405555"/>
                <a:gd name="connsiteX1" fmla="*/ 0 w 380528"/>
                <a:gd name="connsiteY1" fmla="*/ 6557 h 405555"/>
                <a:gd name="connsiteX2" fmla="*/ 36633 w 380528"/>
                <a:gd name="connsiteY2" fmla="*/ 166101 h 405555"/>
                <a:gd name="connsiteX3" fmla="*/ 100928 w 380528"/>
                <a:gd name="connsiteY3" fmla="*/ 282782 h 405555"/>
                <a:gd name="connsiteX4" fmla="*/ 217609 w 380528"/>
                <a:gd name="connsiteY4" fmla="*/ 363745 h 405555"/>
                <a:gd name="connsiteX5" fmla="*/ 374543 w 380528"/>
                <a:gd name="connsiteY5" fmla="*/ 405555 h 405555"/>
                <a:gd name="connsiteX6" fmla="*/ 0 w 380528"/>
                <a:gd name="connsiteY6" fmla="*/ 405555 h 405555"/>
                <a:gd name="connsiteX0" fmla="*/ 0 w 380528"/>
                <a:gd name="connsiteY0" fmla="*/ 405555 h 405555"/>
                <a:gd name="connsiteX1" fmla="*/ 0 w 380528"/>
                <a:gd name="connsiteY1" fmla="*/ 6557 h 405555"/>
                <a:gd name="connsiteX2" fmla="*/ 36633 w 380528"/>
                <a:gd name="connsiteY2" fmla="*/ 166101 h 405555"/>
                <a:gd name="connsiteX3" fmla="*/ 100928 w 380528"/>
                <a:gd name="connsiteY3" fmla="*/ 282782 h 405555"/>
                <a:gd name="connsiteX4" fmla="*/ 217609 w 380528"/>
                <a:gd name="connsiteY4" fmla="*/ 363745 h 405555"/>
                <a:gd name="connsiteX5" fmla="*/ 374543 w 380528"/>
                <a:gd name="connsiteY5" fmla="*/ 405555 h 405555"/>
                <a:gd name="connsiteX6" fmla="*/ 0 w 380528"/>
                <a:gd name="connsiteY6" fmla="*/ 405555 h 405555"/>
                <a:gd name="connsiteX0" fmla="*/ 0 w 380528"/>
                <a:gd name="connsiteY0" fmla="*/ 405555 h 405555"/>
                <a:gd name="connsiteX1" fmla="*/ 0 w 380528"/>
                <a:gd name="connsiteY1" fmla="*/ 6557 h 405555"/>
                <a:gd name="connsiteX2" fmla="*/ 36633 w 380528"/>
                <a:gd name="connsiteY2" fmla="*/ 166101 h 405555"/>
                <a:gd name="connsiteX3" fmla="*/ 100928 w 380528"/>
                <a:gd name="connsiteY3" fmla="*/ 282782 h 405555"/>
                <a:gd name="connsiteX4" fmla="*/ 217609 w 380528"/>
                <a:gd name="connsiteY4" fmla="*/ 363745 h 405555"/>
                <a:gd name="connsiteX5" fmla="*/ 374543 w 380528"/>
                <a:gd name="connsiteY5" fmla="*/ 405555 h 405555"/>
                <a:gd name="connsiteX6" fmla="*/ 0 w 380528"/>
                <a:gd name="connsiteY6" fmla="*/ 405555 h 405555"/>
                <a:gd name="connsiteX0" fmla="*/ 0 w 385447"/>
                <a:gd name="connsiteY0" fmla="*/ 405555 h 405555"/>
                <a:gd name="connsiteX1" fmla="*/ 0 w 385447"/>
                <a:gd name="connsiteY1" fmla="*/ 6557 h 405555"/>
                <a:gd name="connsiteX2" fmla="*/ 36633 w 385447"/>
                <a:gd name="connsiteY2" fmla="*/ 166101 h 405555"/>
                <a:gd name="connsiteX3" fmla="*/ 100928 w 385447"/>
                <a:gd name="connsiteY3" fmla="*/ 282782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36633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36633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41501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41501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41501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4603"/>
                <a:gd name="connsiteY0" fmla="*/ 405555 h 405555"/>
                <a:gd name="connsiteX1" fmla="*/ 0 w 384603"/>
                <a:gd name="connsiteY1" fmla="*/ 6557 h 405555"/>
                <a:gd name="connsiteX2" fmla="*/ 41501 w 384603"/>
                <a:gd name="connsiteY2" fmla="*/ 166101 h 405555"/>
                <a:gd name="connsiteX3" fmla="*/ 113096 w 384603"/>
                <a:gd name="connsiteY3" fmla="*/ 269490 h 405555"/>
                <a:gd name="connsiteX4" fmla="*/ 217609 w 384603"/>
                <a:gd name="connsiteY4" fmla="*/ 363745 h 405555"/>
                <a:gd name="connsiteX5" fmla="*/ 374543 w 384603"/>
                <a:gd name="connsiteY5" fmla="*/ 405555 h 405555"/>
                <a:gd name="connsiteX6" fmla="*/ 0 w 384603"/>
                <a:gd name="connsiteY6" fmla="*/ 405555 h 405555"/>
                <a:gd name="connsiteX0" fmla="*/ 0 w 385045"/>
                <a:gd name="connsiteY0" fmla="*/ 405555 h 405555"/>
                <a:gd name="connsiteX1" fmla="*/ 0 w 385045"/>
                <a:gd name="connsiteY1" fmla="*/ 6557 h 405555"/>
                <a:gd name="connsiteX2" fmla="*/ 41501 w 385045"/>
                <a:gd name="connsiteY2" fmla="*/ 166101 h 405555"/>
                <a:gd name="connsiteX3" fmla="*/ 113096 w 385045"/>
                <a:gd name="connsiteY3" fmla="*/ 269490 h 405555"/>
                <a:gd name="connsiteX4" fmla="*/ 222475 w 385045"/>
                <a:gd name="connsiteY4" fmla="*/ 358427 h 405555"/>
                <a:gd name="connsiteX5" fmla="*/ 374543 w 385045"/>
                <a:gd name="connsiteY5" fmla="*/ 405555 h 405555"/>
                <a:gd name="connsiteX6" fmla="*/ 0 w 385045"/>
                <a:gd name="connsiteY6" fmla="*/ 405555 h 405555"/>
                <a:gd name="connsiteX0" fmla="*/ 0 w 385044"/>
                <a:gd name="connsiteY0" fmla="*/ 405555 h 405555"/>
                <a:gd name="connsiteX1" fmla="*/ 0 w 385044"/>
                <a:gd name="connsiteY1" fmla="*/ 6557 h 405555"/>
                <a:gd name="connsiteX2" fmla="*/ 41501 w 385044"/>
                <a:gd name="connsiteY2" fmla="*/ 166101 h 405555"/>
                <a:gd name="connsiteX3" fmla="*/ 113096 w 385044"/>
                <a:gd name="connsiteY3" fmla="*/ 269490 h 405555"/>
                <a:gd name="connsiteX4" fmla="*/ 222475 w 385044"/>
                <a:gd name="connsiteY4" fmla="*/ 358427 h 405555"/>
                <a:gd name="connsiteX5" fmla="*/ 374543 w 385044"/>
                <a:gd name="connsiteY5" fmla="*/ 405555 h 405555"/>
                <a:gd name="connsiteX6" fmla="*/ 0 w 385044"/>
                <a:gd name="connsiteY6" fmla="*/ 405555 h 405555"/>
                <a:gd name="connsiteX0" fmla="*/ 0 w 385044"/>
                <a:gd name="connsiteY0" fmla="*/ 405555 h 405555"/>
                <a:gd name="connsiteX1" fmla="*/ 0 w 385044"/>
                <a:gd name="connsiteY1" fmla="*/ 6557 h 405555"/>
                <a:gd name="connsiteX2" fmla="*/ 41501 w 385044"/>
                <a:gd name="connsiteY2" fmla="*/ 166101 h 405555"/>
                <a:gd name="connsiteX3" fmla="*/ 113096 w 385044"/>
                <a:gd name="connsiteY3" fmla="*/ 269490 h 405555"/>
                <a:gd name="connsiteX4" fmla="*/ 222475 w 385044"/>
                <a:gd name="connsiteY4" fmla="*/ 358427 h 405555"/>
                <a:gd name="connsiteX5" fmla="*/ 374543 w 385044"/>
                <a:gd name="connsiteY5" fmla="*/ 405555 h 405555"/>
                <a:gd name="connsiteX6" fmla="*/ 0 w 385044"/>
                <a:gd name="connsiteY6" fmla="*/ 405555 h 405555"/>
                <a:gd name="connsiteX0" fmla="*/ 0 w 387197"/>
                <a:gd name="connsiteY0" fmla="*/ 405555 h 413718"/>
                <a:gd name="connsiteX1" fmla="*/ 0 w 387197"/>
                <a:gd name="connsiteY1" fmla="*/ 6557 h 413718"/>
                <a:gd name="connsiteX2" fmla="*/ 41501 w 387197"/>
                <a:gd name="connsiteY2" fmla="*/ 166101 h 413718"/>
                <a:gd name="connsiteX3" fmla="*/ 113096 w 387197"/>
                <a:gd name="connsiteY3" fmla="*/ 269490 h 413718"/>
                <a:gd name="connsiteX4" fmla="*/ 222475 w 387197"/>
                <a:gd name="connsiteY4" fmla="*/ 358427 h 413718"/>
                <a:gd name="connsiteX5" fmla="*/ 376916 w 387197"/>
                <a:gd name="connsiteY5" fmla="*/ 413718 h 413718"/>
                <a:gd name="connsiteX6" fmla="*/ 0 w 387197"/>
                <a:gd name="connsiteY6" fmla="*/ 405555 h 413718"/>
                <a:gd name="connsiteX0" fmla="*/ 0 w 387197"/>
                <a:gd name="connsiteY0" fmla="*/ 405555 h 413718"/>
                <a:gd name="connsiteX1" fmla="*/ 0 w 387197"/>
                <a:gd name="connsiteY1" fmla="*/ 6557 h 413718"/>
                <a:gd name="connsiteX2" fmla="*/ 41501 w 387197"/>
                <a:gd name="connsiteY2" fmla="*/ 166101 h 413718"/>
                <a:gd name="connsiteX3" fmla="*/ 99367 w 387197"/>
                <a:gd name="connsiteY3" fmla="*/ 296537 h 413718"/>
                <a:gd name="connsiteX4" fmla="*/ 222475 w 387197"/>
                <a:gd name="connsiteY4" fmla="*/ 358427 h 413718"/>
                <a:gd name="connsiteX5" fmla="*/ 376916 w 387197"/>
                <a:gd name="connsiteY5" fmla="*/ 413718 h 413718"/>
                <a:gd name="connsiteX6" fmla="*/ 0 w 387197"/>
                <a:gd name="connsiteY6" fmla="*/ 405555 h 413718"/>
                <a:gd name="connsiteX0" fmla="*/ 0 w 387197"/>
                <a:gd name="connsiteY0" fmla="*/ 405555 h 413718"/>
                <a:gd name="connsiteX1" fmla="*/ 0 w 387197"/>
                <a:gd name="connsiteY1" fmla="*/ 6557 h 413718"/>
                <a:gd name="connsiteX2" fmla="*/ 41501 w 387197"/>
                <a:gd name="connsiteY2" fmla="*/ 166101 h 413718"/>
                <a:gd name="connsiteX3" fmla="*/ 99367 w 387197"/>
                <a:gd name="connsiteY3" fmla="*/ 296537 h 413718"/>
                <a:gd name="connsiteX4" fmla="*/ 222475 w 387197"/>
                <a:gd name="connsiteY4" fmla="*/ 358427 h 413718"/>
                <a:gd name="connsiteX5" fmla="*/ 376916 w 387197"/>
                <a:gd name="connsiteY5" fmla="*/ 413718 h 413718"/>
                <a:gd name="connsiteX6" fmla="*/ 0 w 387197"/>
                <a:gd name="connsiteY6" fmla="*/ 405555 h 413718"/>
                <a:gd name="connsiteX0" fmla="*/ 0 w 386334"/>
                <a:gd name="connsiteY0" fmla="*/ 405555 h 413718"/>
                <a:gd name="connsiteX1" fmla="*/ 0 w 386334"/>
                <a:gd name="connsiteY1" fmla="*/ 6557 h 413718"/>
                <a:gd name="connsiteX2" fmla="*/ 41501 w 386334"/>
                <a:gd name="connsiteY2" fmla="*/ 166101 h 413718"/>
                <a:gd name="connsiteX3" fmla="*/ 99367 w 386334"/>
                <a:gd name="connsiteY3" fmla="*/ 296537 h 413718"/>
                <a:gd name="connsiteX4" fmla="*/ 212178 w 386334"/>
                <a:gd name="connsiteY4" fmla="*/ 374656 h 413718"/>
                <a:gd name="connsiteX5" fmla="*/ 376916 w 386334"/>
                <a:gd name="connsiteY5" fmla="*/ 413718 h 413718"/>
                <a:gd name="connsiteX6" fmla="*/ 0 w 386334"/>
                <a:gd name="connsiteY6" fmla="*/ 405555 h 413718"/>
                <a:gd name="connsiteX0" fmla="*/ 0 w 386334"/>
                <a:gd name="connsiteY0" fmla="*/ 405652 h 413815"/>
                <a:gd name="connsiteX1" fmla="*/ 0 w 386334"/>
                <a:gd name="connsiteY1" fmla="*/ 6654 h 413815"/>
                <a:gd name="connsiteX2" fmla="*/ 38070 w 386334"/>
                <a:gd name="connsiteY2" fmla="*/ 163493 h 413815"/>
                <a:gd name="connsiteX3" fmla="*/ 99367 w 386334"/>
                <a:gd name="connsiteY3" fmla="*/ 296634 h 413815"/>
                <a:gd name="connsiteX4" fmla="*/ 212178 w 386334"/>
                <a:gd name="connsiteY4" fmla="*/ 374753 h 413815"/>
                <a:gd name="connsiteX5" fmla="*/ 376916 w 386334"/>
                <a:gd name="connsiteY5" fmla="*/ 413815 h 413815"/>
                <a:gd name="connsiteX6" fmla="*/ 0 w 386334"/>
                <a:gd name="connsiteY6" fmla="*/ 405652 h 413815"/>
                <a:gd name="connsiteX0" fmla="*/ 0 w 386334"/>
                <a:gd name="connsiteY0" fmla="*/ 404944 h 413107"/>
                <a:gd name="connsiteX1" fmla="*/ 0 w 386334"/>
                <a:gd name="connsiteY1" fmla="*/ 5946 h 413107"/>
                <a:gd name="connsiteX2" fmla="*/ 31211 w 386334"/>
                <a:gd name="connsiteY2" fmla="*/ 184460 h 413107"/>
                <a:gd name="connsiteX3" fmla="*/ 99367 w 386334"/>
                <a:gd name="connsiteY3" fmla="*/ 295926 h 413107"/>
                <a:gd name="connsiteX4" fmla="*/ 212178 w 386334"/>
                <a:gd name="connsiteY4" fmla="*/ 374045 h 413107"/>
                <a:gd name="connsiteX5" fmla="*/ 376916 w 386334"/>
                <a:gd name="connsiteY5" fmla="*/ 413107 h 413107"/>
                <a:gd name="connsiteX6" fmla="*/ 0 w 386334"/>
                <a:gd name="connsiteY6" fmla="*/ 404944 h 413107"/>
                <a:gd name="connsiteX0" fmla="*/ 0 w 386334"/>
                <a:gd name="connsiteY0" fmla="*/ 404369 h 412532"/>
                <a:gd name="connsiteX1" fmla="*/ 0 w 386334"/>
                <a:gd name="connsiteY1" fmla="*/ 5371 h 412532"/>
                <a:gd name="connsiteX2" fmla="*/ 34638 w 386334"/>
                <a:gd name="connsiteY2" fmla="*/ 205560 h 412532"/>
                <a:gd name="connsiteX3" fmla="*/ 99367 w 386334"/>
                <a:gd name="connsiteY3" fmla="*/ 295351 h 412532"/>
                <a:gd name="connsiteX4" fmla="*/ 212178 w 386334"/>
                <a:gd name="connsiteY4" fmla="*/ 373470 h 412532"/>
                <a:gd name="connsiteX5" fmla="*/ 376916 w 386334"/>
                <a:gd name="connsiteY5" fmla="*/ 412532 h 412532"/>
                <a:gd name="connsiteX6" fmla="*/ 0 w 386334"/>
                <a:gd name="connsiteY6" fmla="*/ 404369 h 412532"/>
                <a:gd name="connsiteX0" fmla="*/ 0 w 386334"/>
                <a:gd name="connsiteY0" fmla="*/ 404564 h 412727"/>
                <a:gd name="connsiteX1" fmla="*/ 0 w 386334"/>
                <a:gd name="connsiteY1" fmla="*/ 5566 h 412727"/>
                <a:gd name="connsiteX2" fmla="*/ 34638 w 386334"/>
                <a:gd name="connsiteY2" fmla="*/ 205755 h 412727"/>
                <a:gd name="connsiteX3" fmla="*/ 99367 w 386334"/>
                <a:gd name="connsiteY3" fmla="*/ 295546 h 412727"/>
                <a:gd name="connsiteX4" fmla="*/ 212178 w 386334"/>
                <a:gd name="connsiteY4" fmla="*/ 373665 h 412727"/>
                <a:gd name="connsiteX5" fmla="*/ 376916 w 386334"/>
                <a:gd name="connsiteY5" fmla="*/ 412727 h 412727"/>
                <a:gd name="connsiteX6" fmla="*/ 0 w 386334"/>
                <a:gd name="connsiteY6" fmla="*/ 404564 h 412727"/>
                <a:gd name="connsiteX0" fmla="*/ 0 w 386334"/>
                <a:gd name="connsiteY0" fmla="*/ 404564 h 412727"/>
                <a:gd name="connsiteX1" fmla="*/ 0 w 386334"/>
                <a:gd name="connsiteY1" fmla="*/ 5566 h 412727"/>
                <a:gd name="connsiteX2" fmla="*/ 34638 w 386334"/>
                <a:gd name="connsiteY2" fmla="*/ 205755 h 412727"/>
                <a:gd name="connsiteX3" fmla="*/ 131576 w 386334"/>
                <a:gd name="connsiteY3" fmla="*/ 265756 h 412727"/>
                <a:gd name="connsiteX4" fmla="*/ 212178 w 386334"/>
                <a:gd name="connsiteY4" fmla="*/ 373665 h 412727"/>
                <a:gd name="connsiteX5" fmla="*/ 376916 w 386334"/>
                <a:gd name="connsiteY5" fmla="*/ 412727 h 412727"/>
                <a:gd name="connsiteX6" fmla="*/ 0 w 386334"/>
                <a:gd name="connsiteY6" fmla="*/ 404564 h 412727"/>
                <a:gd name="connsiteX0" fmla="*/ 0 w 386334"/>
                <a:gd name="connsiteY0" fmla="*/ 406383 h 414546"/>
                <a:gd name="connsiteX1" fmla="*/ 0 w 386334"/>
                <a:gd name="connsiteY1" fmla="*/ 7385 h 414546"/>
                <a:gd name="connsiteX2" fmla="*/ 59415 w 386334"/>
                <a:gd name="connsiteY2" fmla="*/ 153954 h 414546"/>
                <a:gd name="connsiteX3" fmla="*/ 131576 w 386334"/>
                <a:gd name="connsiteY3" fmla="*/ 267575 h 414546"/>
                <a:gd name="connsiteX4" fmla="*/ 212178 w 386334"/>
                <a:gd name="connsiteY4" fmla="*/ 375484 h 414546"/>
                <a:gd name="connsiteX5" fmla="*/ 376916 w 386334"/>
                <a:gd name="connsiteY5" fmla="*/ 414546 h 414546"/>
                <a:gd name="connsiteX6" fmla="*/ 0 w 386334"/>
                <a:gd name="connsiteY6" fmla="*/ 406383 h 414546"/>
                <a:gd name="connsiteX0" fmla="*/ 0 w 386529"/>
                <a:gd name="connsiteY0" fmla="*/ 406383 h 414546"/>
                <a:gd name="connsiteX1" fmla="*/ 0 w 386529"/>
                <a:gd name="connsiteY1" fmla="*/ 7385 h 414546"/>
                <a:gd name="connsiteX2" fmla="*/ 59415 w 386529"/>
                <a:gd name="connsiteY2" fmla="*/ 153954 h 414546"/>
                <a:gd name="connsiteX3" fmla="*/ 131576 w 386529"/>
                <a:gd name="connsiteY3" fmla="*/ 267575 h 414546"/>
                <a:gd name="connsiteX4" fmla="*/ 214655 w 386529"/>
                <a:gd name="connsiteY4" fmla="*/ 351653 h 414546"/>
                <a:gd name="connsiteX5" fmla="*/ 376916 w 386529"/>
                <a:gd name="connsiteY5" fmla="*/ 414546 h 414546"/>
                <a:gd name="connsiteX6" fmla="*/ 0 w 386529"/>
                <a:gd name="connsiteY6" fmla="*/ 406383 h 414546"/>
                <a:gd name="connsiteX0" fmla="*/ 0 w 386529"/>
                <a:gd name="connsiteY0" fmla="*/ 449484 h 457647"/>
                <a:gd name="connsiteX1" fmla="*/ 7432 w 386529"/>
                <a:gd name="connsiteY1" fmla="*/ 5805 h 457647"/>
                <a:gd name="connsiteX2" fmla="*/ 59415 w 386529"/>
                <a:gd name="connsiteY2" fmla="*/ 197055 h 457647"/>
                <a:gd name="connsiteX3" fmla="*/ 131576 w 386529"/>
                <a:gd name="connsiteY3" fmla="*/ 310676 h 457647"/>
                <a:gd name="connsiteX4" fmla="*/ 214655 w 386529"/>
                <a:gd name="connsiteY4" fmla="*/ 394754 h 457647"/>
                <a:gd name="connsiteX5" fmla="*/ 376916 w 386529"/>
                <a:gd name="connsiteY5" fmla="*/ 457647 h 457647"/>
                <a:gd name="connsiteX6" fmla="*/ 0 w 386529"/>
                <a:gd name="connsiteY6" fmla="*/ 449484 h 4576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86529" h="457647">
                  <a:moveTo>
                    <a:pt x="0" y="449484"/>
                  </a:moveTo>
                  <a:lnTo>
                    <a:pt x="7432" y="5805"/>
                  </a:lnTo>
                  <a:cubicBezTo>
                    <a:pt x="15919" y="-34104"/>
                    <a:pt x="42021" y="142889"/>
                    <a:pt x="59415" y="197055"/>
                  </a:cubicBezTo>
                  <a:cubicBezTo>
                    <a:pt x="76236" y="243093"/>
                    <a:pt x="103795" y="277736"/>
                    <a:pt x="131576" y="310676"/>
                  </a:cubicBezTo>
                  <a:cubicBezTo>
                    <a:pt x="187067" y="368620"/>
                    <a:pt x="161805" y="353026"/>
                    <a:pt x="214655" y="394754"/>
                  </a:cubicBezTo>
                  <a:cubicBezTo>
                    <a:pt x="338629" y="439582"/>
                    <a:pt x="414375" y="449091"/>
                    <a:pt x="376916" y="457647"/>
                  </a:cubicBezTo>
                  <a:lnTo>
                    <a:pt x="0" y="449484"/>
                  </a:lnTo>
                  <a:close/>
                </a:path>
              </a:pathLst>
            </a:custGeom>
            <a:solidFill>
              <a:srgbClr val="03626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nvGrpSpPr>
            <xdr:cNvPr id="32" name="31 Grupo">
              <a:extLst>
                <a:ext uri="{FF2B5EF4-FFF2-40B4-BE49-F238E27FC236}">
                  <a16:creationId xmlns="" xmlns:a16="http://schemas.microsoft.com/office/drawing/2014/main" id="{00000000-0008-0000-0000-000020000000}"/>
                </a:ext>
              </a:extLst>
            </xdr:cNvPr>
            <xdr:cNvGrpSpPr/>
          </xdr:nvGrpSpPr>
          <xdr:grpSpPr>
            <a:xfrm>
              <a:off x="939471" y="1152393"/>
              <a:ext cx="8579691" cy="1565803"/>
              <a:chOff x="939471" y="1152393"/>
              <a:chExt cx="8579691" cy="1565803"/>
            </a:xfrm>
          </xdr:grpSpPr>
          <xdr:sp macro="" textlink="">
            <xdr:nvSpPr>
              <xdr:cNvPr id="33" name="8 Triángulo rectángulo">
                <a:extLst>
                  <a:ext uri="{FF2B5EF4-FFF2-40B4-BE49-F238E27FC236}">
                    <a16:creationId xmlns="" xmlns:a16="http://schemas.microsoft.com/office/drawing/2014/main" id="{00000000-0008-0000-0000-000021000000}"/>
                  </a:ext>
                </a:extLst>
              </xdr:cNvPr>
              <xdr:cNvSpPr/>
            </xdr:nvSpPr>
            <xdr:spPr>
              <a:xfrm flipH="1" flipV="1">
                <a:off x="8976495" y="1152393"/>
                <a:ext cx="542667" cy="346282"/>
              </a:xfrm>
              <a:custGeom>
                <a:avLst/>
                <a:gdLst>
                  <a:gd name="connsiteX0" fmla="*/ 0 w 374543"/>
                  <a:gd name="connsiteY0" fmla="*/ 398998 h 398998"/>
                  <a:gd name="connsiteX1" fmla="*/ 0 w 374543"/>
                  <a:gd name="connsiteY1" fmla="*/ 0 h 398998"/>
                  <a:gd name="connsiteX2" fmla="*/ 374543 w 374543"/>
                  <a:gd name="connsiteY2" fmla="*/ 398998 h 398998"/>
                  <a:gd name="connsiteX3" fmla="*/ 0 w 374543"/>
                  <a:gd name="connsiteY3" fmla="*/ 398998 h 398998"/>
                  <a:gd name="connsiteX0" fmla="*/ 0 w 374543"/>
                  <a:gd name="connsiteY0" fmla="*/ 398998 h 398998"/>
                  <a:gd name="connsiteX1" fmla="*/ 0 w 374543"/>
                  <a:gd name="connsiteY1" fmla="*/ 0 h 398998"/>
                  <a:gd name="connsiteX2" fmla="*/ 119978 w 374543"/>
                  <a:gd name="connsiteY2" fmla="*/ 257175 h 398998"/>
                  <a:gd name="connsiteX3" fmla="*/ 374543 w 374543"/>
                  <a:gd name="connsiteY3" fmla="*/ 398998 h 398998"/>
                  <a:gd name="connsiteX4" fmla="*/ 0 w 374543"/>
                  <a:gd name="connsiteY4" fmla="*/ 398998 h 398998"/>
                  <a:gd name="connsiteX0" fmla="*/ 0 w 374543"/>
                  <a:gd name="connsiteY0" fmla="*/ 398998 h 398998"/>
                  <a:gd name="connsiteX1" fmla="*/ 0 w 374543"/>
                  <a:gd name="connsiteY1" fmla="*/ 0 h 398998"/>
                  <a:gd name="connsiteX2" fmla="*/ 72353 w 374543"/>
                  <a:gd name="connsiteY2" fmla="*/ 297657 h 398998"/>
                  <a:gd name="connsiteX3" fmla="*/ 374543 w 374543"/>
                  <a:gd name="connsiteY3" fmla="*/ 398998 h 398998"/>
                  <a:gd name="connsiteX4" fmla="*/ 0 w 374543"/>
                  <a:gd name="connsiteY4" fmla="*/ 398998 h 398998"/>
                  <a:gd name="connsiteX0" fmla="*/ 0 w 374543"/>
                  <a:gd name="connsiteY0" fmla="*/ 398998 h 398998"/>
                  <a:gd name="connsiteX1" fmla="*/ 0 w 374543"/>
                  <a:gd name="connsiteY1" fmla="*/ 0 h 398998"/>
                  <a:gd name="connsiteX2" fmla="*/ 100928 w 374543"/>
                  <a:gd name="connsiteY2" fmla="*/ 276225 h 398998"/>
                  <a:gd name="connsiteX3" fmla="*/ 374543 w 374543"/>
                  <a:gd name="connsiteY3" fmla="*/ 398998 h 398998"/>
                  <a:gd name="connsiteX4" fmla="*/ 0 w 374543"/>
                  <a:gd name="connsiteY4" fmla="*/ 398998 h 398998"/>
                  <a:gd name="connsiteX0" fmla="*/ 0 w 374543"/>
                  <a:gd name="connsiteY0" fmla="*/ 398998 h 398998"/>
                  <a:gd name="connsiteX1" fmla="*/ 0 w 374543"/>
                  <a:gd name="connsiteY1" fmla="*/ 0 h 398998"/>
                  <a:gd name="connsiteX2" fmla="*/ 100928 w 374543"/>
                  <a:gd name="connsiteY2" fmla="*/ 276225 h 398998"/>
                  <a:gd name="connsiteX3" fmla="*/ 374543 w 374543"/>
                  <a:gd name="connsiteY3" fmla="*/ 398998 h 398998"/>
                  <a:gd name="connsiteX4" fmla="*/ 0 w 374543"/>
                  <a:gd name="connsiteY4" fmla="*/ 398998 h 398998"/>
                  <a:gd name="connsiteX0" fmla="*/ 0 w 380528"/>
                  <a:gd name="connsiteY0" fmla="*/ 398998 h 398998"/>
                  <a:gd name="connsiteX1" fmla="*/ 0 w 380528"/>
                  <a:gd name="connsiteY1" fmla="*/ 0 h 398998"/>
                  <a:gd name="connsiteX2" fmla="*/ 100928 w 380528"/>
                  <a:gd name="connsiteY2" fmla="*/ 276225 h 398998"/>
                  <a:gd name="connsiteX3" fmla="*/ 217609 w 380528"/>
                  <a:gd name="connsiteY3" fmla="*/ 357188 h 398998"/>
                  <a:gd name="connsiteX4" fmla="*/ 374543 w 380528"/>
                  <a:gd name="connsiteY4" fmla="*/ 398998 h 398998"/>
                  <a:gd name="connsiteX5" fmla="*/ 0 w 380528"/>
                  <a:gd name="connsiteY5" fmla="*/ 398998 h 398998"/>
                  <a:gd name="connsiteX0" fmla="*/ 0 w 380528"/>
                  <a:gd name="connsiteY0" fmla="*/ 405555 h 405555"/>
                  <a:gd name="connsiteX1" fmla="*/ 0 w 380528"/>
                  <a:gd name="connsiteY1" fmla="*/ 6557 h 405555"/>
                  <a:gd name="connsiteX2" fmla="*/ 36633 w 380528"/>
                  <a:gd name="connsiteY2" fmla="*/ 166101 h 405555"/>
                  <a:gd name="connsiteX3" fmla="*/ 100928 w 380528"/>
                  <a:gd name="connsiteY3" fmla="*/ 282782 h 405555"/>
                  <a:gd name="connsiteX4" fmla="*/ 217609 w 380528"/>
                  <a:gd name="connsiteY4" fmla="*/ 363745 h 405555"/>
                  <a:gd name="connsiteX5" fmla="*/ 374543 w 380528"/>
                  <a:gd name="connsiteY5" fmla="*/ 405555 h 405555"/>
                  <a:gd name="connsiteX6" fmla="*/ 0 w 380528"/>
                  <a:gd name="connsiteY6" fmla="*/ 405555 h 405555"/>
                  <a:gd name="connsiteX0" fmla="*/ 0 w 380528"/>
                  <a:gd name="connsiteY0" fmla="*/ 405555 h 405555"/>
                  <a:gd name="connsiteX1" fmla="*/ 0 w 380528"/>
                  <a:gd name="connsiteY1" fmla="*/ 6557 h 405555"/>
                  <a:gd name="connsiteX2" fmla="*/ 36633 w 380528"/>
                  <a:gd name="connsiteY2" fmla="*/ 166101 h 405555"/>
                  <a:gd name="connsiteX3" fmla="*/ 100928 w 380528"/>
                  <a:gd name="connsiteY3" fmla="*/ 282782 h 405555"/>
                  <a:gd name="connsiteX4" fmla="*/ 217609 w 380528"/>
                  <a:gd name="connsiteY4" fmla="*/ 363745 h 405555"/>
                  <a:gd name="connsiteX5" fmla="*/ 374543 w 380528"/>
                  <a:gd name="connsiteY5" fmla="*/ 405555 h 405555"/>
                  <a:gd name="connsiteX6" fmla="*/ 0 w 380528"/>
                  <a:gd name="connsiteY6" fmla="*/ 405555 h 405555"/>
                  <a:gd name="connsiteX0" fmla="*/ 0 w 380528"/>
                  <a:gd name="connsiteY0" fmla="*/ 405555 h 405555"/>
                  <a:gd name="connsiteX1" fmla="*/ 0 w 380528"/>
                  <a:gd name="connsiteY1" fmla="*/ 6557 h 405555"/>
                  <a:gd name="connsiteX2" fmla="*/ 36633 w 380528"/>
                  <a:gd name="connsiteY2" fmla="*/ 166101 h 405555"/>
                  <a:gd name="connsiteX3" fmla="*/ 100928 w 380528"/>
                  <a:gd name="connsiteY3" fmla="*/ 282782 h 405555"/>
                  <a:gd name="connsiteX4" fmla="*/ 217609 w 380528"/>
                  <a:gd name="connsiteY4" fmla="*/ 363745 h 405555"/>
                  <a:gd name="connsiteX5" fmla="*/ 374543 w 380528"/>
                  <a:gd name="connsiteY5" fmla="*/ 405555 h 405555"/>
                  <a:gd name="connsiteX6" fmla="*/ 0 w 380528"/>
                  <a:gd name="connsiteY6" fmla="*/ 405555 h 405555"/>
                  <a:gd name="connsiteX0" fmla="*/ 0 w 385447"/>
                  <a:gd name="connsiteY0" fmla="*/ 405555 h 405555"/>
                  <a:gd name="connsiteX1" fmla="*/ 0 w 385447"/>
                  <a:gd name="connsiteY1" fmla="*/ 6557 h 405555"/>
                  <a:gd name="connsiteX2" fmla="*/ 36633 w 385447"/>
                  <a:gd name="connsiteY2" fmla="*/ 166101 h 405555"/>
                  <a:gd name="connsiteX3" fmla="*/ 100928 w 385447"/>
                  <a:gd name="connsiteY3" fmla="*/ 282782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36633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36633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41501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41501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5447"/>
                  <a:gd name="connsiteY0" fmla="*/ 405555 h 405555"/>
                  <a:gd name="connsiteX1" fmla="*/ 0 w 385447"/>
                  <a:gd name="connsiteY1" fmla="*/ 6557 h 405555"/>
                  <a:gd name="connsiteX2" fmla="*/ 41501 w 385447"/>
                  <a:gd name="connsiteY2" fmla="*/ 166101 h 405555"/>
                  <a:gd name="connsiteX3" fmla="*/ 113096 w 385447"/>
                  <a:gd name="connsiteY3" fmla="*/ 269490 h 405555"/>
                  <a:gd name="connsiteX4" fmla="*/ 217609 w 385447"/>
                  <a:gd name="connsiteY4" fmla="*/ 363745 h 405555"/>
                  <a:gd name="connsiteX5" fmla="*/ 374543 w 385447"/>
                  <a:gd name="connsiteY5" fmla="*/ 405555 h 405555"/>
                  <a:gd name="connsiteX6" fmla="*/ 0 w 385447"/>
                  <a:gd name="connsiteY6" fmla="*/ 405555 h 405555"/>
                  <a:gd name="connsiteX0" fmla="*/ 0 w 384603"/>
                  <a:gd name="connsiteY0" fmla="*/ 405555 h 405555"/>
                  <a:gd name="connsiteX1" fmla="*/ 0 w 384603"/>
                  <a:gd name="connsiteY1" fmla="*/ 6557 h 405555"/>
                  <a:gd name="connsiteX2" fmla="*/ 41501 w 384603"/>
                  <a:gd name="connsiteY2" fmla="*/ 166101 h 405555"/>
                  <a:gd name="connsiteX3" fmla="*/ 113096 w 384603"/>
                  <a:gd name="connsiteY3" fmla="*/ 269490 h 405555"/>
                  <a:gd name="connsiteX4" fmla="*/ 217609 w 384603"/>
                  <a:gd name="connsiteY4" fmla="*/ 363745 h 405555"/>
                  <a:gd name="connsiteX5" fmla="*/ 374543 w 384603"/>
                  <a:gd name="connsiteY5" fmla="*/ 405555 h 405555"/>
                  <a:gd name="connsiteX6" fmla="*/ 0 w 384603"/>
                  <a:gd name="connsiteY6" fmla="*/ 405555 h 405555"/>
                  <a:gd name="connsiteX0" fmla="*/ 0 w 385045"/>
                  <a:gd name="connsiteY0" fmla="*/ 405555 h 405555"/>
                  <a:gd name="connsiteX1" fmla="*/ 0 w 385045"/>
                  <a:gd name="connsiteY1" fmla="*/ 6557 h 405555"/>
                  <a:gd name="connsiteX2" fmla="*/ 41501 w 385045"/>
                  <a:gd name="connsiteY2" fmla="*/ 166101 h 405555"/>
                  <a:gd name="connsiteX3" fmla="*/ 113096 w 385045"/>
                  <a:gd name="connsiteY3" fmla="*/ 269490 h 405555"/>
                  <a:gd name="connsiteX4" fmla="*/ 222475 w 385045"/>
                  <a:gd name="connsiteY4" fmla="*/ 358427 h 405555"/>
                  <a:gd name="connsiteX5" fmla="*/ 374543 w 385045"/>
                  <a:gd name="connsiteY5" fmla="*/ 405555 h 405555"/>
                  <a:gd name="connsiteX6" fmla="*/ 0 w 385045"/>
                  <a:gd name="connsiteY6" fmla="*/ 405555 h 405555"/>
                  <a:gd name="connsiteX0" fmla="*/ 0 w 385044"/>
                  <a:gd name="connsiteY0" fmla="*/ 405555 h 405555"/>
                  <a:gd name="connsiteX1" fmla="*/ 0 w 385044"/>
                  <a:gd name="connsiteY1" fmla="*/ 6557 h 405555"/>
                  <a:gd name="connsiteX2" fmla="*/ 41501 w 385044"/>
                  <a:gd name="connsiteY2" fmla="*/ 166101 h 405555"/>
                  <a:gd name="connsiteX3" fmla="*/ 113096 w 385044"/>
                  <a:gd name="connsiteY3" fmla="*/ 269490 h 405555"/>
                  <a:gd name="connsiteX4" fmla="*/ 222475 w 385044"/>
                  <a:gd name="connsiteY4" fmla="*/ 358427 h 405555"/>
                  <a:gd name="connsiteX5" fmla="*/ 374543 w 385044"/>
                  <a:gd name="connsiteY5" fmla="*/ 405555 h 405555"/>
                  <a:gd name="connsiteX6" fmla="*/ 0 w 385044"/>
                  <a:gd name="connsiteY6" fmla="*/ 405555 h 405555"/>
                  <a:gd name="connsiteX0" fmla="*/ 0 w 385044"/>
                  <a:gd name="connsiteY0" fmla="*/ 405555 h 405555"/>
                  <a:gd name="connsiteX1" fmla="*/ 0 w 385044"/>
                  <a:gd name="connsiteY1" fmla="*/ 6557 h 405555"/>
                  <a:gd name="connsiteX2" fmla="*/ 41501 w 385044"/>
                  <a:gd name="connsiteY2" fmla="*/ 166101 h 405555"/>
                  <a:gd name="connsiteX3" fmla="*/ 113096 w 385044"/>
                  <a:gd name="connsiteY3" fmla="*/ 269490 h 405555"/>
                  <a:gd name="connsiteX4" fmla="*/ 222475 w 385044"/>
                  <a:gd name="connsiteY4" fmla="*/ 358427 h 405555"/>
                  <a:gd name="connsiteX5" fmla="*/ 374543 w 385044"/>
                  <a:gd name="connsiteY5" fmla="*/ 405555 h 405555"/>
                  <a:gd name="connsiteX6" fmla="*/ 0 w 385044"/>
                  <a:gd name="connsiteY6" fmla="*/ 405555 h 405555"/>
                  <a:gd name="connsiteX0" fmla="*/ 0 w 387197"/>
                  <a:gd name="connsiteY0" fmla="*/ 405555 h 413718"/>
                  <a:gd name="connsiteX1" fmla="*/ 0 w 387197"/>
                  <a:gd name="connsiteY1" fmla="*/ 6557 h 413718"/>
                  <a:gd name="connsiteX2" fmla="*/ 41501 w 387197"/>
                  <a:gd name="connsiteY2" fmla="*/ 166101 h 413718"/>
                  <a:gd name="connsiteX3" fmla="*/ 113096 w 387197"/>
                  <a:gd name="connsiteY3" fmla="*/ 269490 h 413718"/>
                  <a:gd name="connsiteX4" fmla="*/ 222475 w 387197"/>
                  <a:gd name="connsiteY4" fmla="*/ 358427 h 413718"/>
                  <a:gd name="connsiteX5" fmla="*/ 376916 w 387197"/>
                  <a:gd name="connsiteY5" fmla="*/ 413718 h 413718"/>
                  <a:gd name="connsiteX6" fmla="*/ 0 w 387197"/>
                  <a:gd name="connsiteY6" fmla="*/ 405555 h 413718"/>
                  <a:gd name="connsiteX0" fmla="*/ 0 w 376916"/>
                  <a:gd name="connsiteY0" fmla="*/ 405555 h 413979"/>
                  <a:gd name="connsiteX1" fmla="*/ 0 w 376916"/>
                  <a:gd name="connsiteY1" fmla="*/ 6557 h 413979"/>
                  <a:gd name="connsiteX2" fmla="*/ 41501 w 376916"/>
                  <a:gd name="connsiteY2" fmla="*/ 166101 h 413979"/>
                  <a:gd name="connsiteX3" fmla="*/ 113096 w 376916"/>
                  <a:gd name="connsiteY3" fmla="*/ 269490 h 413979"/>
                  <a:gd name="connsiteX4" fmla="*/ 222475 w 376916"/>
                  <a:gd name="connsiteY4" fmla="*/ 358427 h 413979"/>
                  <a:gd name="connsiteX5" fmla="*/ 376916 w 376916"/>
                  <a:gd name="connsiteY5" fmla="*/ 413718 h 413979"/>
                  <a:gd name="connsiteX6" fmla="*/ 0 w 376916"/>
                  <a:gd name="connsiteY6" fmla="*/ 405555 h 413979"/>
                  <a:gd name="connsiteX0" fmla="*/ 0 w 376916"/>
                  <a:gd name="connsiteY0" fmla="*/ 405555 h 413861"/>
                  <a:gd name="connsiteX1" fmla="*/ 0 w 376916"/>
                  <a:gd name="connsiteY1" fmla="*/ 6557 h 413861"/>
                  <a:gd name="connsiteX2" fmla="*/ 41501 w 376916"/>
                  <a:gd name="connsiteY2" fmla="*/ 166101 h 413861"/>
                  <a:gd name="connsiteX3" fmla="*/ 113096 w 376916"/>
                  <a:gd name="connsiteY3" fmla="*/ 269490 h 413861"/>
                  <a:gd name="connsiteX4" fmla="*/ 222475 w 376916"/>
                  <a:gd name="connsiteY4" fmla="*/ 358427 h 413861"/>
                  <a:gd name="connsiteX5" fmla="*/ 376916 w 376916"/>
                  <a:gd name="connsiteY5" fmla="*/ 413718 h 413861"/>
                  <a:gd name="connsiteX6" fmla="*/ 0 w 376916"/>
                  <a:gd name="connsiteY6" fmla="*/ 405555 h 413861"/>
                  <a:gd name="connsiteX0" fmla="*/ 0 w 376916"/>
                  <a:gd name="connsiteY0" fmla="*/ 405555 h 413861"/>
                  <a:gd name="connsiteX1" fmla="*/ 0 w 376916"/>
                  <a:gd name="connsiteY1" fmla="*/ 6557 h 413861"/>
                  <a:gd name="connsiteX2" fmla="*/ 41501 w 376916"/>
                  <a:gd name="connsiteY2" fmla="*/ 166101 h 413861"/>
                  <a:gd name="connsiteX3" fmla="*/ 113096 w 376916"/>
                  <a:gd name="connsiteY3" fmla="*/ 269490 h 413861"/>
                  <a:gd name="connsiteX4" fmla="*/ 222475 w 376916"/>
                  <a:gd name="connsiteY4" fmla="*/ 358427 h 413861"/>
                  <a:gd name="connsiteX5" fmla="*/ 376916 w 376916"/>
                  <a:gd name="connsiteY5" fmla="*/ 413718 h 413861"/>
                  <a:gd name="connsiteX6" fmla="*/ 0 w 376916"/>
                  <a:gd name="connsiteY6" fmla="*/ 405555 h 413861"/>
                  <a:gd name="connsiteX0" fmla="*/ 0 w 376916"/>
                  <a:gd name="connsiteY0" fmla="*/ 405555 h 414136"/>
                  <a:gd name="connsiteX1" fmla="*/ 0 w 376916"/>
                  <a:gd name="connsiteY1" fmla="*/ 6557 h 414136"/>
                  <a:gd name="connsiteX2" fmla="*/ 41501 w 376916"/>
                  <a:gd name="connsiteY2" fmla="*/ 166101 h 414136"/>
                  <a:gd name="connsiteX3" fmla="*/ 113096 w 376916"/>
                  <a:gd name="connsiteY3" fmla="*/ 269490 h 414136"/>
                  <a:gd name="connsiteX4" fmla="*/ 208293 w 376916"/>
                  <a:gd name="connsiteY4" fmla="*/ 378055 h 414136"/>
                  <a:gd name="connsiteX5" fmla="*/ 376916 w 376916"/>
                  <a:gd name="connsiteY5" fmla="*/ 413718 h 414136"/>
                  <a:gd name="connsiteX6" fmla="*/ 0 w 376916"/>
                  <a:gd name="connsiteY6" fmla="*/ 405555 h 414136"/>
                  <a:gd name="connsiteX0" fmla="*/ 0 w 376916"/>
                  <a:gd name="connsiteY0" fmla="*/ 405555 h 413917"/>
                  <a:gd name="connsiteX1" fmla="*/ 0 w 376916"/>
                  <a:gd name="connsiteY1" fmla="*/ 6557 h 413917"/>
                  <a:gd name="connsiteX2" fmla="*/ 41501 w 376916"/>
                  <a:gd name="connsiteY2" fmla="*/ 166101 h 413917"/>
                  <a:gd name="connsiteX3" fmla="*/ 113096 w 376916"/>
                  <a:gd name="connsiteY3" fmla="*/ 269490 h 413917"/>
                  <a:gd name="connsiteX4" fmla="*/ 208293 w 376916"/>
                  <a:gd name="connsiteY4" fmla="*/ 378055 h 413917"/>
                  <a:gd name="connsiteX5" fmla="*/ 376916 w 376916"/>
                  <a:gd name="connsiteY5" fmla="*/ 413718 h 413917"/>
                  <a:gd name="connsiteX6" fmla="*/ 0 w 376916"/>
                  <a:gd name="connsiteY6" fmla="*/ 405555 h 413917"/>
                  <a:gd name="connsiteX0" fmla="*/ 0 w 376916"/>
                  <a:gd name="connsiteY0" fmla="*/ 405555 h 413915"/>
                  <a:gd name="connsiteX1" fmla="*/ 0 w 376916"/>
                  <a:gd name="connsiteY1" fmla="*/ 6557 h 413915"/>
                  <a:gd name="connsiteX2" fmla="*/ 41501 w 376916"/>
                  <a:gd name="connsiteY2" fmla="*/ 166101 h 413915"/>
                  <a:gd name="connsiteX3" fmla="*/ 113096 w 376916"/>
                  <a:gd name="connsiteY3" fmla="*/ 269490 h 413915"/>
                  <a:gd name="connsiteX4" fmla="*/ 208293 w 376916"/>
                  <a:gd name="connsiteY4" fmla="*/ 378055 h 413915"/>
                  <a:gd name="connsiteX5" fmla="*/ 376916 w 376916"/>
                  <a:gd name="connsiteY5" fmla="*/ 413718 h 413915"/>
                  <a:gd name="connsiteX6" fmla="*/ 0 w 376916"/>
                  <a:gd name="connsiteY6" fmla="*/ 405555 h 413915"/>
                  <a:gd name="connsiteX0" fmla="*/ 0 w 376916"/>
                  <a:gd name="connsiteY0" fmla="*/ 405555 h 413917"/>
                  <a:gd name="connsiteX1" fmla="*/ 0 w 376916"/>
                  <a:gd name="connsiteY1" fmla="*/ 6557 h 413917"/>
                  <a:gd name="connsiteX2" fmla="*/ 41501 w 376916"/>
                  <a:gd name="connsiteY2" fmla="*/ 166101 h 413917"/>
                  <a:gd name="connsiteX3" fmla="*/ 101278 w 376916"/>
                  <a:gd name="connsiteY3" fmla="*/ 285194 h 413917"/>
                  <a:gd name="connsiteX4" fmla="*/ 208293 w 376916"/>
                  <a:gd name="connsiteY4" fmla="*/ 378055 h 413917"/>
                  <a:gd name="connsiteX5" fmla="*/ 376916 w 376916"/>
                  <a:gd name="connsiteY5" fmla="*/ 413718 h 413917"/>
                  <a:gd name="connsiteX6" fmla="*/ 0 w 376916"/>
                  <a:gd name="connsiteY6" fmla="*/ 405555 h 413917"/>
                  <a:gd name="connsiteX0" fmla="*/ 0 w 376916"/>
                  <a:gd name="connsiteY0" fmla="*/ 405555 h 413917"/>
                  <a:gd name="connsiteX1" fmla="*/ 0 w 376916"/>
                  <a:gd name="connsiteY1" fmla="*/ 6557 h 413917"/>
                  <a:gd name="connsiteX2" fmla="*/ 41501 w 376916"/>
                  <a:gd name="connsiteY2" fmla="*/ 166101 h 413917"/>
                  <a:gd name="connsiteX3" fmla="*/ 74590 w 376916"/>
                  <a:gd name="connsiteY3" fmla="*/ 317240 h 413917"/>
                  <a:gd name="connsiteX4" fmla="*/ 208293 w 376916"/>
                  <a:gd name="connsiteY4" fmla="*/ 378055 h 413917"/>
                  <a:gd name="connsiteX5" fmla="*/ 376916 w 376916"/>
                  <a:gd name="connsiteY5" fmla="*/ 413718 h 413917"/>
                  <a:gd name="connsiteX6" fmla="*/ 0 w 376916"/>
                  <a:gd name="connsiteY6" fmla="*/ 405555 h 413917"/>
                  <a:gd name="connsiteX0" fmla="*/ 0 w 376916"/>
                  <a:gd name="connsiteY0" fmla="*/ 405555 h 413917"/>
                  <a:gd name="connsiteX1" fmla="*/ 0 w 376916"/>
                  <a:gd name="connsiteY1" fmla="*/ 6557 h 413917"/>
                  <a:gd name="connsiteX2" fmla="*/ 24518 w 376916"/>
                  <a:gd name="connsiteY2" fmla="*/ 166102 h 413917"/>
                  <a:gd name="connsiteX3" fmla="*/ 74590 w 376916"/>
                  <a:gd name="connsiteY3" fmla="*/ 317240 h 413917"/>
                  <a:gd name="connsiteX4" fmla="*/ 208293 w 376916"/>
                  <a:gd name="connsiteY4" fmla="*/ 378055 h 413917"/>
                  <a:gd name="connsiteX5" fmla="*/ 376916 w 376916"/>
                  <a:gd name="connsiteY5" fmla="*/ 413718 h 413917"/>
                  <a:gd name="connsiteX6" fmla="*/ 0 w 376916"/>
                  <a:gd name="connsiteY6" fmla="*/ 405555 h 413917"/>
                  <a:gd name="connsiteX0" fmla="*/ 0 w 376916"/>
                  <a:gd name="connsiteY0" fmla="*/ 405555 h 413916"/>
                  <a:gd name="connsiteX1" fmla="*/ 0 w 376916"/>
                  <a:gd name="connsiteY1" fmla="*/ 6557 h 413916"/>
                  <a:gd name="connsiteX2" fmla="*/ 24518 w 376916"/>
                  <a:gd name="connsiteY2" fmla="*/ 166102 h 413916"/>
                  <a:gd name="connsiteX3" fmla="*/ 87251 w 376916"/>
                  <a:gd name="connsiteY3" fmla="*/ 309061 h 413916"/>
                  <a:gd name="connsiteX4" fmla="*/ 208293 w 376916"/>
                  <a:gd name="connsiteY4" fmla="*/ 378055 h 413916"/>
                  <a:gd name="connsiteX5" fmla="*/ 376916 w 376916"/>
                  <a:gd name="connsiteY5" fmla="*/ 413718 h 413916"/>
                  <a:gd name="connsiteX6" fmla="*/ 0 w 376916"/>
                  <a:gd name="connsiteY6" fmla="*/ 405555 h 413916"/>
                  <a:gd name="connsiteX0" fmla="*/ 0 w 376916"/>
                  <a:gd name="connsiteY0" fmla="*/ 404674 h 413035"/>
                  <a:gd name="connsiteX1" fmla="*/ 0 w 376916"/>
                  <a:gd name="connsiteY1" fmla="*/ 5676 h 413035"/>
                  <a:gd name="connsiteX2" fmla="*/ 17283 w 376916"/>
                  <a:gd name="connsiteY2" fmla="*/ 193848 h 413035"/>
                  <a:gd name="connsiteX3" fmla="*/ 87251 w 376916"/>
                  <a:gd name="connsiteY3" fmla="*/ 308180 h 413035"/>
                  <a:gd name="connsiteX4" fmla="*/ 208293 w 376916"/>
                  <a:gd name="connsiteY4" fmla="*/ 377174 h 413035"/>
                  <a:gd name="connsiteX5" fmla="*/ 376916 w 376916"/>
                  <a:gd name="connsiteY5" fmla="*/ 412837 h 413035"/>
                  <a:gd name="connsiteX6" fmla="*/ 0 w 376916"/>
                  <a:gd name="connsiteY6" fmla="*/ 404674 h 4130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76916" h="413035">
                    <a:moveTo>
                      <a:pt x="0" y="404674"/>
                    </a:moveTo>
                    <a:lnTo>
                      <a:pt x="0" y="5676"/>
                    </a:lnTo>
                    <a:cubicBezTo>
                      <a:pt x="8487" y="-34233"/>
                      <a:pt x="-13825" y="147810"/>
                      <a:pt x="17283" y="193848"/>
                    </a:cubicBezTo>
                    <a:cubicBezTo>
                      <a:pt x="34104" y="239886"/>
                      <a:pt x="59470" y="275240"/>
                      <a:pt x="87251" y="308180"/>
                    </a:cubicBezTo>
                    <a:cubicBezTo>
                      <a:pt x="139312" y="366124"/>
                      <a:pt x="157785" y="355387"/>
                      <a:pt x="208293" y="377174"/>
                    </a:cubicBezTo>
                    <a:cubicBezTo>
                      <a:pt x="235089" y="396621"/>
                      <a:pt x="364529" y="415164"/>
                      <a:pt x="376916" y="412837"/>
                    </a:cubicBezTo>
                    <a:lnTo>
                      <a:pt x="0" y="404674"/>
                    </a:lnTo>
                    <a:close/>
                  </a:path>
                </a:pathLst>
              </a:custGeom>
              <a:solidFill>
                <a:srgbClr val="03626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33 Redondear rectángulo de esquina del mismo lado">
                <a:extLst>
                  <a:ext uri="{FF2B5EF4-FFF2-40B4-BE49-F238E27FC236}">
                    <a16:creationId xmlns="" xmlns:a16="http://schemas.microsoft.com/office/drawing/2014/main" id="{00000000-0008-0000-0000-000022000000}"/>
                  </a:ext>
                </a:extLst>
              </xdr:cNvPr>
              <xdr:cNvSpPr/>
            </xdr:nvSpPr>
            <xdr:spPr>
              <a:xfrm rot="5400000">
                <a:off x="4454820" y="-2345153"/>
                <a:ext cx="1548000" cy="8578698"/>
              </a:xfrm>
              <a:prstGeom prst="round2SameRect">
                <a:avLst/>
              </a:prstGeom>
              <a:noFill/>
              <a:ln w="28575">
                <a:solidFill>
                  <a:srgbClr val="87CFC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grpSp>
      <xdr:cxnSp macro="">
        <xdr:nvCxnSpPr>
          <xdr:cNvPr id="30" name="29 Conector recto">
            <a:extLst>
              <a:ext uri="{FF2B5EF4-FFF2-40B4-BE49-F238E27FC236}">
                <a16:creationId xmlns="" xmlns:a16="http://schemas.microsoft.com/office/drawing/2014/main" id="{00000000-0008-0000-0000-00001E000000}"/>
              </a:ext>
            </a:extLst>
          </xdr:cNvPr>
          <xdr:cNvCxnSpPr/>
        </xdr:nvCxnSpPr>
        <xdr:spPr>
          <a:xfrm flipH="1">
            <a:off x="919046" y="1188975"/>
            <a:ext cx="0" cy="1470561"/>
          </a:xfrm>
          <a:prstGeom prst="line">
            <a:avLst/>
          </a:prstGeom>
          <a:ln w="571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31</xdr:col>
          <xdr:colOff>57150</xdr:colOff>
          <xdr:row>45</xdr:row>
          <xdr:rowOff>47625</xdr:rowOff>
        </xdr:from>
        <xdr:to>
          <xdr:col>32</xdr:col>
          <xdr:colOff>19050</xdr:colOff>
          <xdr:row>47</xdr:row>
          <xdr:rowOff>47625</xdr:rowOff>
        </xdr:to>
        <xdr:sp macro="" textlink="">
          <xdr:nvSpPr>
            <xdr:cNvPr id="1053" name="Option Button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47</xdr:row>
          <xdr:rowOff>9525</xdr:rowOff>
        </xdr:from>
        <xdr:to>
          <xdr:col>31</xdr:col>
          <xdr:colOff>295275</xdr:colOff>
          <xdr:row>49</xdr:row>
          <xdr:rowOff>9525</xdr:rowOff>
        </xdr:to>
        <xdr:sp macro="" textlink="">
          <xdr:nvSpPr>
            <xdr:cNvPr id="1054" name="Option Button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49</xdr:row>
          <xdr:rowOff>9525</xdr:rowOff>
        </xdr:from>
        <xdr:to>
          <xdr:col>32</xdr:col>
          <xdr:colOff>9525</xdr:colOff>
          <xdr:row>50</xdr:row>
          <xdr:rowOff>76200</xdr:rowOff>
        </xdr:to>
        <xdr:sp macro="" textlink="">
          <xdr:nvSpPr>
            <xdr:cNvPr id="1055" name="Option Button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xdr:twoCellAnchor editAs="oneCell">
    <xdr:from>
      <xdr:col>4</xdr:col>
      <xdr:colOff>57151</xdr:colOff>
      <xdr:row>1</xdr:row>
      <xdr:rowOff>82551</xdr:rowOff>
    </xdr:from>
    <xdr:to>
      <xdr:col>10</xdr:col>
      <xdr:colOff>285751</xdr:colOff>
      <xdr:row>4</xdr:row>
      <xdr:rowOff>174973</xdr:rowOff>
    </xdr:to>
    <xdr:pic>
      <xdr:nvPicPr>
        <xdr:cNvPr id="2" name="Imagen 1">
          <a:extLst>
            <a:ext uri="{FF2B5EF4-FFF2-40B4-BE49-F238E27FC236}">
              <a16:creationId xmlns="" xmlns:a16="http://schemas.microsoft.com/office/drawing/2014/main" id="{2567D9DD-85DD-4542-8C48-51D04D2598DC}"/>
            </a:ext>
          </a:extLst>
        </xdr:cNvPr>
        <xdr:cNvPicPr>
          <a:picLocks noChangeAspect="1"/>
        </xdr:cNvPicPr>
      </xdr:nvPicPr>
      <xdr:blipFill>
        <a:blip xmlns:r="http://schemas.openxmlformats.org/officeDocument/2006/relationships" r:embed="rId2"/>
        <a:stretch>
          <a:fillRect/>
        </a:stretch>
      </xdr:blipFill>
      <xdr:spPr>
        <a:xfrm>
          <a:off x="336551" y="241301"/>
          <a:ext cx="2241550" cy="6829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129</xdr:row>
      <xdr:rowOff>12696</xdr:rowOff>
    </xdr:from>
    <xdr:to>
      <xdr:col>7</xdr:col>
      <xdr:colOff>119593</xdr:colOff>
      <xdr:row>136</xdr:row>
      <xdr:rowOff>86780</xdr:rowOff>
    </xdr:to>
    <xdr:pic>
      <xdr:nvPicPr>
        <xdr:cNvPr id="3" name="2 Imagen">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24288746"/>
          <a:ext cx="1211793" cy="1185334"/>
        </a:xfrm>
        <a:prstGeom prst="rect">
          <a:avLst/>
        </a:prstGeom>
      </xdr:spPr>
    </xdr:pic>
    <xdr:clientData/>
  </xdr:twoCellAnchor>
  <xdr:twoCellAnchor editAs="oneCell">
    <xdr:from>
      <xdr:col>1</xdr:col>
      <xdr:colOff>12700</xdr:colOff>
      <xdr:row>1</xdr:row>
      <xdr:rowOff>12700</xdr:rowOff>
    </xdr:from>
    <xdr:to>
      <xdr:col>7</xdr:col>
      <xdr:colOff>157693</xdr:colOff>
      <xdr:row>8</xdr:row>
      <xdr:rowOff>93134</xdr:rowOff>
    </xdr:to>
    <xdr:pic>
      <xdr:nvPicPr>
        <xdr:cNvPr id="4" name="3 Imagen">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336550"/>
          <a:ext cx="1249893" cy="1185334"/>
        </a:xfrm>
        <a:prstGeom prst="rect">
          <a:avLst/>
        </a:prstGeom>
      </xdr:spPr>
    </xdr:pic>
    <xdr:clientData/>
  </xdr:twoCellAnchor>
  <xdr:twoCellAnchor editAs="oneCell">
    <xdr:from>
      <xdr:col>1</xdr:col>
      <xdr:colOff>19050</xdr:colOff>
      <xdr:row>65</xdr:row>
      <xdr:rowOff>19050</xdr:rowOff>
    </xdr:from>
    <xdr:to>
      <xdr:col>7</xdr:col>
      <xdr:colOff>164043</xdr:colOff>
      <xdr:row>72</xdr:row>
      <xdr:rowOff>35984</xdr:rowOff>
    </xdr:to>
    <xdr:pic>
      <xdr:nvPicPr>
        <xdr:cNvPr id="5" name="3 Imagen">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2458700"/>
          <a:ext cx="1249893" cy="1185334"/>
        </a:xfrm>
        <a:prstGeom prst="rect">
          <a:avLst/>
        </a:prstGeom>
      </xdr:spPr>
    </xdr:pic>
    <xdr:clientData/>
  </xdr:twoCellAnchor>
  <xdr:twoCellAnchor editAs="oneCell">
    <xdr:from>
      <xdr:col>26</xdr:col>
      <xdr:colOff>0</xdr:colOff>
      <xdr:row>1</xdr:row>
      <xdr:rowOff>12700</xdr:rowOff>
    </xdr:from>
    <xdr:to>
      <xdr:col>37</xdr:col>
      <xdr:colOff>0</xdr:colOff>
      <xdr:row>5</xdr:row>
      <xdr:rowOff>67022</xdr:rowOff>
    </xdr:to>
    <xdr:pic>
      <xdr:nvPicPr>
        <xdr:cNvPr id="6" name="Imagen 5">
          <a:extLst>
            <a:ext uri="{FF2B5EF4-FFF2-40B4-BE49-F238E27FC236}">
              <a16:creationId xmlns="" xmlns:a16="http://schemas.microsoft.com/office/drawing/2014/main" id="{72FBA7FC-B47C-40D6-9A08-9F56B0E017B6}"/>
            </a:ext>
          </a:extLst>
        </xdr:cNvPr>
        <xdr:cNvPicPr>
          <a:picLocks noChangeAspect="1"/>
        </xdr:cNvPicPr>
      </xdr:nvPicPr>
      <xdr:blipFill>
        <a:blip xmlns:r="http://schemas.openxmlformats.org/officeDocument/2006/relationships" r:embed="rId2"/>
        <a:stretch>
          <a:fillRect/>
        </a:stretch>
      </xdr:blipFill>
      <xdr:spPr>
        <a:xfrm>
          <a:off x="5168900" y="336550"/>
          <a:ext cx="2241550" cy="682972"/>
        </a:xfrm>
        <a:prstGeom prst="rect">
          <a:avLst/>
        </a:prstGeom>
      </xdr:spPr>
    </xdr:pic>
    <xdr:clientData/>
  </xdr:twoCellAnchor>
  <xdr:twoCellAnchor editAs="oneCell">
    <xdr:from>
      <xdr:col>25</xdr:col>
      <xdr:colOff>120650</xdr:colOff>
      <xdr:row>65</xdr:row>
      <xdr:rowOff>19050</xdr:rowOff>
    </xdr:from>
    <xdr:to>
      <xdr:col>36</xdr:col>
      <xdr:colOff>165100</xdr:colOff>
      <xdr:row>69</xdr:row>
      <xdr:rowOff>9872</xdr:rowOff>
    </xdr:to>
    <xdr:pic>
      <xdr:nvPicPr>
        <xdr:cNvPr id="7" name="Imagen 6">
          <a:extLst>
            <a:ext uri="{FF2B5EF4-FFF2-40B4-BE49-F238E27FC236}">
              <a16:creationId xmlns="" xmlns:a16="http://schemas.microsoft.com/office/drawing/2014/main" id="{3990283B-E2B5-47BE-98C0-1A3A186E3D67}"/>
            </a:ext>
          </a:extLst>
        </xdr:cNvPr>
        <xdr:cNvPicPr>
          <a:picLocks noChangeAspect="1"/>
        </xdr:cNvPicPr>
      </xdr:nvPicPr>
      <xdr:blipFill>
        <a:blip xmlns:r="http://schemas.openxmlformats.org/officeDocument/2006/relationships" r:embed="rId2"/>
        <a:stretch>
          <a:fillRect/>
        </a:stretch>
      </xdr:blipFill>
      <xdr:spPr>
        <a:xfrm>
          <a:off x="5149850" y="12458700"/>
          <a:ext cx="2241550" cy="682972"/>
        </a:xfrm>
        <a:prstGeom prst="rect">
          <a:avLst/>
        </a:prstGeom>
      </xdr:spPr>
    </xdr:pic>
    <xdr:clientData/>
  </xdr:twoCellAnchor>
  <xdr:twoCellAnchor editAs="oneCell">
    <xdr:from>
      <xdr:col>25</xdr:col>
      <xdr:colOff>101600</xdr:colOff>
      <xdr:row>129</xdr:row>
      <xdr:rowOff>50800</xdr:rowOff>
    </xdr:from>
    <xdr:to>
      <xdr:col>36</xdr:col>
      <xdr:colOff>146050</xdr:colOff>
      <xdr:row>133</xdr:row>
      <xdr:rowOff>98772</xdr:rowOff>
    </xdr:to>
    <xdr:pic>
      <xdr:nvPicPr>
        <xdr:cNvPr id="9" name="Imagen 8">
          <a:extLst>
            <a:ext uri="{FF2B5EF4-FFF2-40B4-BE49-F238E27FC236}">
              <a16:creationId xmlns="" xmlns:a16="http://schemas.microsoft.com/office/drawing/2014/main" id="{EF9A7AEA-00B6-4B1E-9A39-825C5CEBFCA9}"/>
            </a:ext>
          </a:extLst>
        </xdr:cNvPr>
        <xdr:cNvPicPr>
          <a:picLocks noChangeAspect="1"/>
        </xdr:cNvPicPr>
      </xdr:nvPicPr>
      <xdr:blipFill>
        <a:blip xmlns:r="http://schemas.openxmlformats.org/officeDocument/2006/relationships" r:embed="rId2"/>
        <a:stretch>
          <a:fillRect/>
        </a:stretch>
      </xdr:blipFill>
      <xdr:spPr>
        <a:xfrm>
          <a:off x="5130800" y="24339550"/>
          <a:ext cx="2241550" cy="6829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207906</xdr:colOff>
      <xdr:row>33</xdr:row>
      <xdr:rowOff>139700</xdr:rowOff>
    </xdr:from>
    <xdr:to>
      <xdr:col>11</xdr:col>
      <xdr:colOff>76471</xdr:colOff>
      <xdr:row>72</xdr:row>
      <xdr:rowOff>31750</xdr:rowOff>
    </xdr:to>
    <xdr:pic>
      <xdr:nvPicPr>
        <xdr:cNvPr id="2" name="Imagen 1">
          <a:extLst>
            <a:ext uri="{FF2B5EF4-FFF2-40B4-BE49-F238E27FC236}">
              <a16:creationId xmlns="" xmlns:a16="http://schemas.microsoft.com/office/drawing/2014/main" id="{BD2648B3-52E0-4CFC-8379-38050FC3B779}"/>
            </a:ext>
          </a:extLst>
        </xdr:cNvPr>
        <xdr:cNvPicPr>
          <a:picLocks noChangeAspect="1"/>
        </xdr:cNvPicPr>
      </xdr:nvPicPr>
      <xdr:blipFill>
        <a:blip xmlns:r="http://schemas.openxmlformats.org/officeDocument/2006/relationships" r:embed="rId1"/>
        <a:stretch>
          <a:fillRect/>
        </a:stretch>
      </xdr:blipFill>
      <xdr:spPr>
        <a:xfrm>
          <a:off x="6494406" y="5194300"/>
          <a:ext cx="3748415"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image" Target="../media/image4.emf"/><Relationship Id="rId3" Type="http://schemas.openxmlformats.org/officeDocument/2006/relationships/vmlDrawing" Target="../drawings/vmlDrawing1.vml"/><Relationship Id="rId7" Type="http://schemas.openxmlformats.org/officeDocument/2006/relationships/control" Target="../activeX/activeX2.xml"/><Relationship Id="rId12" Type="http://schemas.openxmlformats.org/officeDocument/2006/relationships/control" Target="../activeX/activeX5.xml"/><Relationship Id="rId2" Type="http://schemas.openxmlformats.org/officeDocument/2006/relationships/drawing" Target="../drawings/drawing1.xml"/><Relationship Id="rId16" Type="http://schemas.openxmlformats.org/officeDocument/2006/relationships/ctrlProp" Target="../ctrlProps/ctrlProp3.xml"/><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5" Type="http://schemas.openxmlformats.org/officeDocument/2006/relationships/ctrlProp" Target="../ctrlProps/ctrlProp2.xml"/><Relationship Id="rId10" Type="http://schemas.openxmlformats.org/officeDocument/2006/relationships/image" Target="../media/image3.emf"/><Relationship Id="rId4" Type="http://schemas.openxmlformats.org/officeDocument/2006/relationships/vmlDrawing" Target="../drawings/vmlDrawing2.vml"/><Relationship Id="rId9" Type="http://schemas.openxmlformats.org/officeDocument/2006/relationships/control" Target="../activeX/activeX3.xml"/><Relationship Id="rId1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gisela.lopez@banregio.com" TargetMode="External"/><Relationship Id="rId3" Type="http://schemas.openxmlformats.org/officeDocument/2006/relationships/hyperlink" Target="mailto:monica.simon@banregio.com" TargetMode="External"/><Relationship Id="rId7" Type="http://schemas.openxmlformats.org/officeDocument/2006/relationships/hyperlink" Target="mailto:ricardo.velazquez@banregio.com" TargetMode="External"/><Relationship Id="rId12" Type="http://schemas.openxmlformats.org/officeDocument/2006/relationships/drawing" Target="../drawings/drawing3.xml"/><Relationship Id="rId2" Type="http://schemas.openxmlformats.org/officeDocument/2006/relationships/hyperlink" Target="mailto:ricardo.cajiga@banregio.com" TargetMode="External"/><Relationship Id="rId1" Type="http://schemas.openxmlformats.org/officeDocument/2006/relationships/hyperlink" Target="mailto:cesar.ruiz@banregio.com" TargetMode="External"/><Relationship Id="rId6" Type="http://schemas.openxmlformats.org/officeDocument/2006/relationships/hyperlink" Target="mailto:karen.menendez@banregio.com" TargetMode="External"/><Relationship Id="rId11" Type="http://schemas.openxmlformats.org/officeDocument/2006/relationships/printerSettings" Target="../printerSettings/printerSettings4.bin"/><Relationship Id="rId5" Type="http://schemas.openxmlformats.org/officeDocument/2006/relationships/hyperlink" Target="mailto:alejandro.delrosal@banregio.com" TargetMode="External"/><Relationship Id="rId10" Type="http://schemas.openxmlformats.org/officeDocument/2006/relationships/hyperlink" Target="mailto:elizabeth.ferrer@banregio.com" TargetMode="External"/><Relationship Id="rId4" Type="http://schemas.openxmlformats.org/officeDocument/2006/relationships/hyperlink" Target="mailto:jonathan.garcia@banregio.com" TargetMode="External"/><Relationship Id="rId9" Type="http://schemas.openxmlformats.org/officeDocument/2006/relationships/hyperlink" Target="mailto:alfonso.labandeira@banregio.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N151"/>
  <sheetViews>
    <sheetView showGridLines="0" showRowColHeaders="0" tabSelected="1" topLeftCell="C1" zoomScaleNormal="100" workbookViewId="0">
      <selection activeCell="T29" sqref="T29"/>
    </sheetView>
  </sheetViews>
  <sheetFormatPr baseColWidth="10" defaultColWidth="0" defaultRowHeight="12.75" zeroHeight="1" x14ac:dyDescent="0.2"/>
  <cols>
    <col min="1" max="2" width="7" style="6" hidden="1" customWidth="1"/>
    <col min="3" max="4" width="2" style="8" customWidth="1"/>
    <col min="5" max="5" width="5" style="8" customWidth="1"/>
    <col min="6" max="6" width="6.140625" style="29" customWidth="1"/>
    <col min="7" max="7" width="5" style="29" customWidth="1"/>
    <col min="8" max="8" width="3.85546875" style="29" customWidth="1"/>
    <col min="9" max="9" width="3.85546875" style="9" customWidth="1"/>
    <col min="10" max="10" width="5" style="9" customWidth="1"/>
    <col min="11" max="11" width="7.5703125" style="9" customWidth="1"/>
    <col min="12" max="12" width="7" style="9" customWidth="1"/>
    <col min="13" max="13" width="3.5703125" style="9" customWidth="1"/>
    <col min="14" max="14" width="1.140625" style="9" customWidth="1"/>
    <col min="15" max="16" width="7.5703125" style="9" customWidth="1"/>
    <col min="17" max="17" width="4.140625" style="9" customWidth="1"/>
    <col min="18" max="18" width="1.140625" style="9" customWidth="1"/>
    <col min="19" max="19" width="11.85546875" style="9" customWidth="1"/>
    <col min="20" max="20" width="4.5703125" style="9" customWidth="1"/>
    <col min="21" max="21" width="3.5703125" style="9" customWidth="1"/>
    <col min="22" max="22" width="1.140625" style="9" customWidth="1"/>
    <col min="23" max="24" width="7.5703125" style="9" customWidth="1"/>
    <col min="25" max="25" width="3.5703125" style="9" customWidth="1"/>
    <col min="26" max="26" width="1.42578125" style="9" customWidth="1"/>
    <col min="27" max="28" width="7.5703125" style="9" customWidth="1"/>
    <col min="29" max="29" width="3.5703125" style="9" customWidth="1"/>
    <col min="30" max="30" width="5" style="9" customWidth="1"/>
    <col min="31" max="31" width="1.42578125" style="9" customWidth="1"/>
    <col min="32" max="35" width="5" style="9" customWidth="1"/>
    <col min="36" max="36" width="7.42578125" style="9" customWidth="1"/>
    <col min="37" max="37" width="7" style="8" hidden="1" customWidth="1"/>
    <col min="38" max="38" width="9.140625" style="9" hidden="1" customWidth="1"/>
    <col min="39" max="40" width="0" style="9" hidden="1" customWidth="1"/>
    <col min="41" max="16384" width="7" style="9" hidden="1"/>
  </cols>
  <sheetData>
    <row r="1" spans="1:38" x14ac:dyDescent="0.2">
      <c r="A1" s="83"/>
      <c r="B1" s="83"/>
      <c r="C1" s="84"/>
      <c r="D1" s="84"/>
      <c r="E1" s="84"/>
      <c r="F1" s="85"/>
      <c r="G1" s="85"/>
      <c r="H1" s="85"/>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row>
    <row r="2" spans="1:38" ht="15.75" customHeight="1" x14ac:dyDescent="0.2">
      <c r="A2" s="356" t="s">
        <v>263</v>
      </c>
      <c r="B2" s="357">
        <v>0.16</v>
      </c>
      <c r="C2" s="84"/>
      <c r="D2" s="84"/>
      <c r="E2" s="64"/>
      <c r="F2" s="65"/>
      <c r="G2" s="65"/>
      <c r="H2" s="65"/>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row>
    <row r="3" spans="1:38" ht="15.75" customHeight="1" x14ac:dyDescent="0.2">
      <c r="C3" s="84"/>
      <c r="D3" s="84"/>
      <c r="E3" s="64"/>
      <c r="F3" s="65"/>
      <c r="G3" s="65"/>
      <c r="H3" s="65"/>
      <c r="I3" s="63"/>
      <c r="J3" s="63"/>
      <c r="K3" s="63"/>
      <c r="L3" s="63"/>
      <c r="M3" s="63"/>
      <c r="N3" s="63"/>
      <c r="O3" s="230"/>
      <c r="P3" s="230"/>
      <c r="Q3" s="63"/>
      <c r="R3" s="63"/>
      <c r="S3" s="63"/>
      <c r="T3" s="63"/>
      <c r="U3" s="63"/>
      <c r="V3" s="63"/>
      <c r="W3" s="63"/>
      <c r="X3" s="63"/>
      <c r="Y3" s="63"/>
      <c r="Z3" s="63"/>
      <c r="AA3" s="63"/>
      <c r="AB3" s="63"/>
      <c r="AC3" s="63"/>
      <c r="AD3" s="63"/>
      <c r="AE3" s="63"/>
      <c r="AF3" s="63"/>
      <c r="AG3" s="63"/>
      <c r="AH3" s="63"/>
      <c r="AI3" s="63"/>
      <c r="AJ3" s="66" t="s">
        <v>51</v>
      </c>
    </row>
    <row r="4" spans="1:38" ht="15.75" customHeight="1" x14ac:dyDescent="0.2">
      <c r="C4" s="84"/>
      <c r="D4" s="84"/>
      <c r="E4" s="64"/>
      <c r="F4" s="599" t="s">
        <v>298</v>
      </c>
      <c r="G4" s="599"/>
      <c r="H4" s="599"/>
      <c r="I4" s="599"/>
      <c r="J4" s="599"/>
      <c r="K4" s="599"/>
      <c r="L4" s="599"/>
      <c r="M4" s="599"/>
      <c r="N4" s="599"/>
      <c r="O4" s="599"/>
      <c r="P4" s="599"/>
      <c r="Q4" s="599"/>
      <c r="R4" s="599"/>
      <c r="S4" s="599"/>
      <c r="T4" s="599"/>
      <c r="U4" s="599"/>
      <c r="V4" s="599"/>
      <c r="W4" s="599"/>
      <c r="X4" s="599"/>
      <c r="Y4" s="599"/>
      <c r="Z4" s="599"/>
      <c r="AA4" s="599"/>
      <c r="AB4" s="599"/>
      <c r="AC4" s="599"/>
      <c r="AD4" s="599"/>
      <c r="AE4" s="64"/>
      <c r="AF4" s="64"/>
      <c r="AG4" s="64"/>
      <c r="AH4" s="64"/>
      <c r="AI4" s="64"/>
      <c r="AJ4" s="63"/>
    </row>
    <row r="5" spans="1:38" ht="15.75" customHeight="1" x14ac:dyDescent="0.2">
      <c r="C5" s="94"/>
      <c r="D5" s="94"/>
      <c r="E5" s="64"/>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67"/>
      <c r="AF5" s="67"/>
      <c r="AG5" s="67"/>
      <c r="AH5" s="67"/>
      <c r="AI5" s="67"/>
      <c r="AJ5" s="67"/>
    </row>
    <row r="6" spans="1:38" ht="15.75" customHeight="1" x14ac:dyDescent="0.35">
      <c r="C6" s="84"/>
      <c r="D6" s="84"/>
      <c r="E6" s="64"/>
      <c r="F6" s="68"/>
      <c r="G6" s="68"/>
      <c r="H6" s="68"/>
      <c r="I6" s="64"/>
      <c r="J6" s="64"/>
      <c r="K6" s="69"/>
      <c r="L6" s="69"/>
      <c r="M6" s="70"/>
      <c r="N6" s="70"/>
      <c r="O6" s="71"/>
      <c r="P6" s="71"/>
      <c r="Q6" s="64"/>
      <c r="R6" s="64"/>
      <c r="S6" s="591"/>
      <c r="T6" s="591"/>
      <c r="U6" s="592"/>
      <c r="V6" s="592"/>
      <c r="W6" s="592"/>
      <c r="X6" s="350"/>
      <c r="Y6" s="64"/>
      <c r="Z6" s="64"/>
      <c r="AA6" s="64"/>
      <c r="AB6" s="64"/>
      <c r="AC6" s="64"/>
      <c r="AD6" s="64"/>
      <c r="AE6" s="64"/>
      <c r="AF6" s="64"/>
      <c r="AG6" s="64"/>
      <c r="AH6" s="64"/>
      <c r="AI6" s="64"/>
      <c r="AJ6" s="64"/>
    </row>
    <row r="7" spans="1:38" x14ac:dyDescent="0.2">
      <c r="A7"/>
      <c r="C7" s="84"/>
      <c r="D7" s="84"/>
      <c r="E7" s="18"/>
      <c r="F7" s="17"/>
      <c r="G7" s="358"/>
      <c r="H7" s="358"/>
      <c r="I7" s="358"/>
      <c r="J7" s="358"/>
      <c r="K7" s="358"/>
      <c r="L7" s="358"/>
      <c r="M7" s="358"/>
      <c r="N7" s="18"/>
      <c r="O7" s="18"/>
      <c r="P7" s="18"/>
      <c r="Q7" s="18"/>
      <c r="R7" s="18"/>
      <c r="S7" s="18"/>
      <c r="T7" s="18"/>
      <c r="U7" s="18"/>
      <c r="V7" s="18"/>
      <c r="W7" s="18"/>
      <c r="X7" s="18"/>
      <c r="Y7" s="18"/>
      <c r="Z7" s="18"/>
      <c r="AA7" s="18"/>
      <c r="AB7" s="18"/>
      <c r="AC7" s="18"/>
      <c r="AD7" s="64"/>
      <c r="AE7" s="64"/>
      <c r="AF7" s="64"/>
      <c r="AG7" s="64"/>
      <c r="AH7" s="64"/>
      <c r="AI7" s="64"/>
      <c r="AJ7" s="64"/>
      <c r="AL7" s="10"/>
    </row>
    <row r="8" spans="1:38" ht="15" customHeight="1" x14ac:dyDescent="0.2">
      <c r="C8" s="84"/>
      <c r="D8" s="84"/>
      <c r="E8" s="18"/>
      <c r="F8" s="17"/>
      <c r="G8" s="132"/>
      <c r="H8" s="364" t="s">
        <v>52</v>
      </c>
      <c r="I8" s="364"/>
      <c r="K8" s="489" t="s">
        <v>265</v>
      </c>
      <c r="L8" s="489"/>
      <c r="M8" s="489"/>
      <c r="N8" s="489"/>
      <c r="O8" s="489"/>
      <c r="P8" s="489"/>
      <c r="Q8" s="489"/>
      <c r="R8" s="489"/>
      <c r="S8" s="489"/>
      <c r="T8" s="489"/>
      <c r="U8" s="489"/>
      <c r="V8" s="489"/>
      <c r="W8" s="489"/>
      <c r="X8" s="489"/>
      <c r="Y8" s="18"/>
      <c r="Z8" s="18"/>
      <c r="AA8" s="18"/>
      <c r="AB8" s="18"/>
      <c r="AC8" s="18"/>
      <c r="AD8" s="64"/>
      <c r="AE8" s="64"/>
      <c r="AF8" s="64"/>
      <c r="AG8" s="64"/>
      <c r="AH8" s="64"/>
      <c r="AI8" s="64"/>
      <c r="AJ8" s="64"/>
      <c r="AL8" s="10"/>
    </row>
    <row r="9" spans="1:38" ht="15" customHeight="1" x14ac:dyDescent="0.2">
      <c r="C9" s="84"/>
      <c r="D9" s="84"/>
      <c r="E9" s="18"/>
      <c r="F9" s="17"/>
      <c r="G9" s="359"/>
      <c r="H9" s="360"/>
      <c r="I9" s="360"/>
      <c r="J9" s="360"/>
      <c r="K9" s="360"/>
      <c r="L9" s="360"/>
      <c r="M9" s="361"/>
      <c r="N9" s="18"/>
      <c r="O9" s="18"/>
      <c r="P9" s="18"/>
      <c r="Q9" s="18"/>
      <c r="R9" s="18"/>
      <c r="S9" s="18"/>
      <c r="T9" s="18"/>
      <c r="U9" s="18"/>
      <c r="V9" s="18"/>
      <c r="W9" s="18"/>
      <c r="X9" s="18"/>
      <c r="Y9" s="18"/>
      <c r="Z9" s="18"/>
      <c r="AA9" s="18"/>
      <c r="AB9" s="18"/>
      <c r="AC9" s="18"/>
      <c r="AD9" s="64"/>
      <c r="AE9" s="64"/>
      <c r="AF9" s="64"/>
      <c r="AG9" s="64"/>
      <c r="AH9" s="64"/>
      <c r="AI9" s="64"/>
      <c r="AJ9" s="64"/>
      <c r="AL9" s="10"/>
    </row>
    <row r="10" spans="1:38" ht="15" customHeight="1" x14ac:dyDescent="0.2">
      <c r="C10" s="84"/>
      <c r="D10" s="84"/>
      <c r="E10" s="18"/>
      <c r="F10" s="17"/>
      <c r="G10" s="132"/>
      <c r="H10" s="364" t="s">
        <v>53</v>
      </c>
      <c r="I10" s="365"/>
      <c r="K10" s="488" t="s">
        <v>266</v>
      </c>
      <c r="L10" s="488"/>
      <c r="M10" s="488"/>
      <c r="N10" s="488"/>
      <c r="O10" s="488"/>
      <c r="P10" s="488"/>
      <c r="Q10" s="488"/>
      <c r="R10" s="488"/>
      <c r="S10" s="488"/>
      <c r="T10" s="488"/>
      <c r="U10" s="18"/>
      <c r="V10" s="18"/>
      <c r="W10" s="18"/>
      <c r="X10" s="18"/>
      <c r="Y10" s="18"/>
      <c r="Z10" s="18"/>
      <c r="AA10" s="18"/>
      <c r="AB10" s="18"/>
      <c r="AC10" s="18"/>
      <c r="AD10" s="64"/>
      <c r="AE10" s="64"/>
      <c r="AF10" s="64"/>
      <c r="AG10" s="64"/>
      <c r="AH10" s="64"/>
      <c r="AI10" s="64"/>
      <c r="AJ10" s="64"/>
      <c r="AL10" s="10"/>
    </row>
    <row r="11" spans="1:38" x14ac:dyDescent="0.2">
      <c r="C11" s="84"/>
      <c r="D11" s="84"/>
      <c r="E11" s="18"/>
      <c r="F11" s="17"/>
      <c r="G11" s="359"/>
      <c r="H11" s="360"/>
      <c r="I11" s="360"/>
      <c r="J11" s="360"/>
      <c r="K11" s="360"/>
      <c r="L11" s="360"/>
      <c r="M11" s="361"/>
      <c r="N11" s="18"/>
      <c r="O11" s="18"/>
      <c r="P11" s="18"/>
      <c r="Q11" s="18"/>
      <c r="R11" s="18"/>
      <c r="S11" s="18"/>
      <c r="T11" s="18"/>
      <c r="U11" s="18"/>
      <c r="V11" s="18"/>
      <c r="W11" s="18"/>
      <c r="X11" s="18"/>
      <c r="Y11" s="18"/>
      <c r="Z11" s="18"/>
      <c r="AA11" s="18"/>
      <c r="AB11" s="18"/>
      <c r="AC11" s="18"/>
      <c r="AD11" s="64"/>
      <c r="AE11" s="64"/>
      <c r="AF11" s="64"/>
      <c r="AG11" s="64"/>
      <c r="AH11" s="64"/>
      <c r="AI11" s="64"/>
      <c r="AJ11" s="64"/>
      <c r="AL11" s="10"/>
    </row>
    <row r="12" spans="1:38" x14ac:dyDescent="0.2">
      <c r="C12" s="84"/>
      <c r="D12" s="84"/>
      <c r="E12" s="18"/>
      <c r="F12" s="17"/>
      <c r="G12" s="364"/>
      <c r="H12" s="364"/>
      <c r="I12" s="365"/>
      <c r="J12" s="8"/>
      <c r="K12" s="499"/>
      <c r="L12" s="499"/>
      <c r="M12" s="499"/>
      <c r="N12" s="499"/>
      <c r="O12" s="499"/>
      <c r="P12" s="499"/>
      <c r="Q12" s="499"/>
      <c r="R12" s="499"/>
      <c r="S12" s="499"/>
      <c r="T12" s="499"/>
      <c r="U12" s="18"/>
      <c r="V12" s="18"/>
      <c r="W12" s="18"/>
      <c r="X12" s="18"/>
      <c r="Y12" s="18"/>
      <c r="Z12" s="18"/>
      <c r="AA12" s="18"/>
      <c r="AB12" s="18"/>
      <c r="AC12" s="18"/>
      <c r="AD12" s="64"/>
      <c r="AE12" s="64"/>
      <c r="AF12" s="64"/>
      <c r="AG12" s="64"/>
      <c r="AH12" s="64"/>
      <c r="AI12" s="64"/>
      <c r="AJ12" s="64"/>
      <c r="AL12" s="10"/>
    </row>
    <row r="13" spans="1:38" ht="15" customHeight="1" x14ac:dyDescent="0.2">
      <c r="C13" s="84"/>
      <c r="D13" s="84"/>
      <c r="E13" s="18"/>
      <c r="F13" s="17"/>
      <c r="G13" s="364" t="s">
        <v>306</v>
      </c>
      <c r="H13" s="364"/>
      <c r="I13" s="365"/>
      <c r="J13" s="8"/>
      <c r="K13" s="488" t="s">
        <v>296</v>
      </c>
      <c r="L13" s="488"/>
      <c r="M13" s="488"/>
      <c r="N13" s="488"/>
      <c r="O13" s="488"/>
      <c r="P13" s="488"/>
      <c r="Q13" s="488"/>
      <c r="R13" s="488"/>
      <c r="S13" s="364" t="s">
        <v>297</v>
      </c>
      <c r="T13" s="488"/>
      <c r="U13" s="488"/>
      <c r="V13" s="488"/>
      <c r="W13" s="488"/>
      <c r="X13" s="488"/>
      <c r="Y13" s="18"/>
      <c r="Z13" s="18"/>
      <c r="AA13" s="18"/>
      <c r="AB13" s="18"/>
      <c r="AC13" s="18"/>
      <c r="AD13" s="64"/>
      <c r="AE13" s="64"/>
      <c r="AF13" s="64"/>
      <c r="AG13" s="64"/>
      <c r="AH13" s="64"/>
      <c r="AI13" s="64"/>
      <c r="AJ13" s="64"/>
      <c r="AL13" s="10"/>
    </row>
    <row r="14" spans="1:38" ht="15" customHeight="1" x14ac:dyDescent="0.2">
      <c r="C14" s="84"/>
      <c r="D14" s="84"/>
      <c r="E14" s="18"/>
      <c r="F14" s="17"/>
      <c r="G14" s="364" t="s">
        <v>304</v>
      </c>
      <c r="H14" s="364"/>
      <c r="I14" s="365"/>
      <c r="K14" s="488" t="s">
        <v>305</v>
      </c>
      <c r="L14" s="488"/>
      <c r="M14" s="488"/>
      <c r="N14" s="488"/>
      <c r="O14" s="488"/>
      <c r="P14" s="488"/>
      <c r="Q14" s="488"/>
      <c r="R14" s="488"/>
      <c r="S14" s="488"/>
      <c r="T14" s="488"/>
      <c r="U14" s="18"/>
      <c r="V14" s="18"/>
      <c r="W14" s="18"/>
      <c r="X14" s="18"/>
      <c r="Y14" s="18"/>
      <c r="Z14" s="18"/>
      <c r="AA14" s="18"/>
      <c r="AB14" s="18"/>
      <c r="AC14" s="18"/>
      <c r="AD14" s="64"/>
      <c r="AE14" s="64"/>
      <c r="AF14" s="64"/>
      <c r="AG14" s="64"/>
      <c r="AH14" s="64"/>
      <c r="AI14" s="64"/>
      <c r="AJ14" s="64"/>
      <c r="AL14" s="10"/>
    </row>
    <row r="15" spans="1:38" x14ac:dyDescent="0.2">
      <c r="C15" s="84"/>
      <c r="D15" s="84"/>
      <c r="E15" s="18"/>
      <c r="F15" s="17"/>
      <c r="G15" s="132"/>
      <c r="H15" s="364"/>
      <c r="I15" s="365"/>
      <c r="K15" s="479"/>
      <c r="L15" s="479"/>
      <c r="M15" s="479"/>
      <c r="N15" s="479"/>
      <c r="O15" s="479"/>
      <c r="P15" s="479"/>
      <c r="Q15" s="479"/>
      <c r="R15" s="479"/>
      <c r="S15" s="479"/>
      <c r="T15" s="479"/>
      <c r="U15" s="18"/>
      <c r="V15" s="18"/>
      <c r="W15" s="18"/>
      <c r="X15" s="18"/>
      <c r="Y15" s="18"/>
      <c r="Z15" s="18"/>
      <c r="AA15" s="18"/>
      <c r="AB15" s="18"/>
      <c r="AC15" s="18"/>
      <c r="AD15" s="64"/>
      <c r="AE15" s="64"/>
      <c r="AF15" s="64"/>
      <c r="AG15" s="64"/>
      <c r="AH15" s="64"/>
      <c r="AI15" s="64"/>
      <c r="AJ15" s="64"/>
      <c r="AL15" s="10"/>
    </row>
    <row r="16" spans="1:38" x14ac:dyDescent="0.2">
      <c r="C16" s="84"/>
      <c r="D16" s="84"/>
      <c r="E16" s="18"/>
      <c r="F16" s="17"/>
      <c r="G16" s="362"/>
      <c r="H16" s="515"/>
      <c r="I16" s="515"/>
      <c r="J16" s="363"/>
      <c r="K16" s="362"/>
      <c r="L16" s="362"/>
      <c r="M16" s="362"/>
      <c r="N16" s="18"/>
      <c r="O16" s="18"/>
      <c r="P16" s="18"/>
      <c r="Q16" s="18"/>
      <c r="R16" s="18"/>
      <c r="S16" s="18"/>
      <c r="T16" s="18"/>
      <c r="U16" s="18"/>
      <c r="V16" s="18"/>
      <c r="W16" s="18"/>
      <c r="X16" s="18"/>
      <c r="Y16" s="18"/>
      <c r="Z16" s="18"/>
      <c r="AA16" s="18"/>
      <c r="AB16" s="18"/>
      <c r="AC16" s="18"/>
      <c r="AD16" s="64"/>
      <c r="AE16" s="64"/>
      <c r="AF16" s="64"/>
      <c r="AG16" s="64"/>
      <c r="AH16" s="64"/>
      <c r="AI16" s="64"/>
      <c r="AJ16" s="64"/>
      <c r="AL16" s="10"/>
    </row>
    <row r="17" spans="1:38" s="378" customFormat="1" ht="12" x14ac:dyDescent="0.2">
      <c r="A17" s="371"/>
      <c r="B17" s="371"/>
      <c r="C17" s="372"/>
      <c r="D17" s="372"/>
      <c r="E17" s="373"/>
      <c r="F17" s="374"/>
      <c r="G17" s="375"/>
      <c r="H17" s="375"/>
      <c r="I17" s="375"/>
      <c r="J17" s="375"/>
      <c r="K17" s="375"/>
      <c r="L17" s="375"/>
      <c r="M17" s="78"/>
      <c r="N17" s="78"/>
      <c r="O17" s="78"/>
      <c r="P17" s="78"/>
      <c r="Q17" s="78"/>
      <c r="R17" s="78"/>
      <c r="S17" s="78"/>
      <c r="T17" s="78"/>
      <c r="U17" s="376"/>
      <c r="V17" s="376"/>
      <c r="W17" s="376"/>
      <c r="X17" s="376"/>
      <c r="Y17" s="376"/>
      <c r="Z17" s="376"/>
      <c r="AA17" s="376"/>
      <c r="AB17" s="376"/>
      <c r="AC17" s="376"/>
      <c r="AD17" s="376"/>
      <c r="AE17" s="376"/>
      <c r="AF17" s="376"/>
      <c r="AG17" s="376"/>
      <c r="AH17" s="376"/>
      <c r="AI17" s="376"/>
      <c r="AJ17" s="376"/>
      <c r="AK17" s="377"/>
    </row>
    <row r="18" spans="1:38" ht="15" x14ac:dyDescent="0.2">
      <c r="C18" s="84"/>
      <c r="D18" s="84"/>
      <c r="E18" s="73"/>
      <c r="F18" s="366" t="s">
        <v>267</v>
      </c>
      <c r="G18" s="367"/>
      <c r="H18" s="367"/>
      <c r="I18" s="367"/>
      <c r="J18" s="367"/>
      <c r="K18" s="367"/>
      <c r="L18" s="367"/>
      <c r="M18" s="367"/>
      <c r="N18" s="367"/>
      <c r="O18" s="367"/>
      <c r="P18" s="367"/>
      <c r="Q18" s="367"/>
      <c r="R18" s="81"/>
      <c r="S18" s="81"/>
      <c r="T18" s="81"/>
      <c r="U18" s="81"/>
      <c r="V18" s="81"/>
      <c r="W18" s="81"/>
      <c r="X18" s="81"/>
      <c r="Y18" s="64"/>
      <c r="Z18" s="64"/>
      <c r="AA18" s="64"/>
      <c r="AB18" s="64"/>
      <c r="AC18" s="64"/>
      <c r="AD18" s="64"/>
      <c r="AE18" s="64"/>
      <c r="AF18" s="64"/>
      <c r="AG18" s="64"/>
      <c r="AH18" s="64"/>
      <c r="AI18" s="64"/>
      <c r="AJ18" s="64"/>
      <c r="AL18" s="10"/>
    </row>
    <row r="19" spans="1:38" s="378" customFormat="1" ht="12" x14ac:dyDescent="0.2">
      <c r="A19" s="371"/>
      <c r="B19" s="371"/>
      <c r="C19" s="372"/>
      <c r="D19" s="372"/>
      <c r="E19" s="373"/>
      <c r="F19" s="368"/>
      <c r="G19" s="368"/>
      <c r="H19" s="352"/>
      <c r="I19" s="352"/>
      <c r="J19" s="352"/>
      <c r="K19" s="80"/>
      <c r="L19" s="80"/>
      <c r="M19" s="352"/>
      <c r="N19" s="352"/>
      <c r="O19" s="352"/>
      <c r="P19" s="352"/>
      <c r="Q19" s="379"/>
      <c r="R19" s="379"/>
      <c r="S19" s="379"/>
      <c r="T19" s="379"/>
      <c r="U19" s="369"/>
      <c r="V19" s="369"/>
      <c r="W19" s="369"/>
      <c r="X19" s="369"/>
      <c r="Y19" s="376"/>
      <c r="Z19" s="376"/>
      <c r="AA19" s="376"/>
      <c r="AB19" s="376"/>
      <c r="AC19" s="376"/>
      <c r="AD19" s="376"/>
      <c r="AE19" s="376"/>
      <c r="AF19" s="376"/>
      <c r="AG19" s="376"/>
      <c r="AH19" s="376"/>
      <c r="AI19" s="376"/>
      <c r="AJ19" s="376"/>
      <c r="AK19" s="377"/>
    </row>
    <row r="20" spans="1:38" ht="15.75" customHeight="1" thickBot="1" x14ac:dyDescent="0.25">
      <c r="C20" s="84"/>
      <c r="D20" s="84"/>
      <c r="E20" s="18"/>
      <c r="F20" s="370"/>
      <c r="G20" s="370"/>
      <c r="H20" s="370"/>
      <c r="I20" s="18"/>
      <c r="J20" s="18"/>
      <c r="K20" s="18"/>
      <c r="L20" s="18"/>
      <c r="M20" s="18"/>
      <c r="N20" s="18"/>
      <c r="O20" s="18"/>
      <c r="P20" s="18"/>
      <c r="Q20" s="18"/>
      <c r="R20" s="18"/>
      <c r="S20" s="18"/>
      <c r="T20" s="18"/>
      <c r="U20" s="18"/>
      <c r="V20" s="18"/>
      <c r="W20" s="18"/>
      <c r="X20" s="18"/>
      <c r="Y20" s="18"/>
      <c r="Z20" s="18"/>
      <c r="AA20" s="18"/>
      <c r="AB20" s="18"/>
      <c r="AC20" s="18"/>
      <c r="AD20" s="64"/>
      <c r="AE20" s="64"/>
      <c r="AF20" s="64"/>
      <c r="AG20" s="64"/>
      <c r="AH20" s="64"/>
      <c r="AI20" s="64"/>
      <c r="AJ20" s="64"/>
      <c r="AK20" s="9"/>
    </row>
    <row r="21" spans="1:38" ht="15.75" customHeight="1" thickTop="1" thickBot="1" x14ac:dyDescent="0.25">
      <c r="C21" s="84"/>
      <c r="D21" s="84"/>
      <c r="E21" s="18"/>
      <c r="F21" s="516" t="s">
        <v>264</v>
      </c>
      <c r="G21" s="516"/>
      <c r="H21" s="516"/>
      <c r="I21" s="516"/>
      <c r="J21" s="490" t="s">
        <v>295</v>
      </c>
      <c r="K21" s="490"/>
      <c r="L21" s="490"/>
      <c r="M21" s="490"/>
      <c r="N21" s="490"/>
      <c r="O21" s="490"/>
      <c r="P21" s="490"/>
      <c r="Q21" s="490"/>
      <c r="R21" s="490"/>
      <c r="S21" s="490"/>
      <c r="T21" s="381"/>
      <c r="U21" s="18"/>
      <c r="V21" s="18"/>
      <c r="W21" s="383" t="s">
        <v>255</v>
      </c>
      <c r="X21" s="18"/>
      <c r="Y21" s="511" t="s">
        <v>40</v>
      </c>
      <c r="Z21" s="511"/>
      <c r="AA21" s="511"/>
      <c r="AB21" s="383"/>
      <c r="AC21" s="18"/>
      <c r="AD21" s="64"/>
      <c r="AE21" s="64"/>
      <c r="AF21" s="64"/>
      <c r="AG21" s="64"/>
      <c r="AH21" s="64"/>
      <c r="AI21" s="64"/>
      <c r="AJ21" s="64"/>
      <c r="AL21" s="10"/>
    </row>
    <row r="22" spans="1:38" ht="14.25" thickTop="1" thickBot="1" x14ac:dyDescent="0.25">
      <c r="C22" s="84"/>
      <c r="D22" s="84"/>
      <c r="E22" s="18"/>
      <c r="F22" s="381"/>
      <c r="G22" s="381"/>
      <c r="H22" s="381"/>
      <c r="I22" s="381"/>
      <c r="J22" s="381"/>
      <c r="K22" s="381"/>
      <c r="L22" s="381"/>
      <c r="M22" s="381"/>
      <c r="N22" s="381"/>
      <c r="O22" s="381"/>
      <c r="P22" s="381"/>
      <c r="Q22" s="381"/>
      <c r="R22" s="381"/>
      <c r="S22" s="381"/>
      <c r="T22" s="381"/>
      <c r="U22" s="18"/>
      <c r="V22" s="18"/>
      <c r="W22" s="481"/>
      <c r="X22" s="482"/>
      <c r="Y22" s="482"/>
      <c r="Z22" s="482"/>
      <c r="AA22" s="482"/>
      <c r="AB22" s="383"/>
      <c r="AC22" s="18"/>
      <c r="AD22" s="64"/>
      <c r="AE22" s="64"/>
      <c r="AF22" s="64"/>
      <c r="AG22" s="64"/>
      <c r="AH22" s="64"/>
      <c r="AI22" s="64"/>
      <c r="AJ22" s="64"/>
      <c r="AL22" s="10"/>
    </row>
    <row r="23" spans="1:38" ht="15.75" customHeight="1" thickTop="1" thickBot="1" x14ac:dyDescent="0.25">
      <c r="C23" s="84"/>
      <c r="D23" s="84"/>
      <c r="E23" s="18"/>
      <c r="F23" s="381"/>
      <c r="G23" s="381"/>
      <c r="H23" s="381"/>
      <c r="I23" s="381"/>
      <c r="J23" s="381"/>
      <c r="K23" s="381"/>
      <c r="L23" s="381"/>
      <c r="M23" s="381"/>
      <c r="N23" s="381"/>
      <c r="O23" s="381"/>
      <c r="P23" s="381"/>
      <c r="Q23" s="381"/>
      <c r="R23" s="381"/>
      <c r="S23" s="381"/>
      <c r="T23" s="381"/>
      <c r="U23" s="18"/>
      <c r="V23" s="18"/>
      <c r="W23" s="483" t="s">
        <v>95</v>
      </c>
      <c r="X23" s="483"/>
      <c r="Y23" s="596">
        <v>22.5</v>
      </c>
      <c r="Z23" s="597"/>
      <c r="AA23" s="598"/>
      <c r="AB23" s="383"/>
      <c r="AC23" s="18"/>
      <c r="AD23" s="64"/>
      <c r="AE23" s="64"/>
      <c r="AF23" s="64"/>
      <c r="AG23" s="64"/>
      <c r="AH23" s="64"/>
      <c r="AI23" s="64"/>
      <c r="AJ23" s="64"/>
      <c r="AL23" s="10"/>
    </row>
    <row r="24" spans="1:38" ht="15.75" customHeight="1" thickTop="1" thickBot="1" x14ac:dyDescent="0.25">
      <c r="C24" s="84"/>
      <c r="D24" s="84"/>
      <c r="E24" s="18"/>
      <c r="F24" s="459"/>
      <c r="G24" s="459"/>
      <c r="H24" s="459"/>
      <c r="I24" s="459"/>
      <c r="J24" s="466"/>
      <c r="K24" s="466"/>
      <c r="L24" s="381"/>
      <c r="M24" s="542" t="s">
        <v>302</v>
      </c>
      <c r="N24" s="542"/>
      <c r="O24" s="542"/>
      <c r="P24" s="542"/>
      <c r="Q24" s="381"/>
      <c r="R24" s="381"/>
      <c r="S24" s="381"/>
      <c r="T24" s="381"/>
      <c r="U24" s="18"/>
      <c r="V24" s="18"/>
      <c r="W24" s="383"/>
      <c r="X24" s="383"/>
      <c r="Y24" s="383"/>
      <c r="Z24" s="383"/>
      <c r="AA24" s="383"/>
      <c r="AB24" s="383"/>
      <c r="AC24" s="18"/>
      <c r="AD24" s="64"/>
      <c r="AE24" s="64"/>
      <c r="AF24" s="64"/>
      <c r="AG24" s="64"/>
      <c r="AH24" s="64"/>
      <c r="AI24" s="64"/>
      <c r="AJ24" s="64"/>
      <c r="AL24" s="10"/>
    </row>
    <row r="25" spans="1:38" ht="16.5" customHeight="1" thickBot="1" x14ac:dyDescent="0.25">
      <c r="C25" s="84"/>
      <c r="D25" s="84"/>
      <c r="E25" s="18"/>
      <c r="F25" s="470" t="s">
        <v>292</v>
      </c>
      <c r="G25" s="523" t="s">
        <v>54</v>
      </c>
      <c r="H25" s="524"/>
      <c r="I25" s="524"/>
      <c r="J25" s="524"/>
      <c r="K25" s="523" t="s">
        <v>293</v>
      </c>
      <c r="L25" s="525"/>
      <c r="M25" s="523" t="s">
        <v>294</v>
      </c>
      <c r="N25" s="524"/>
      <c r="O25" s="524"/>
      <c r="P25" s="525"/>
      <c r="Q25" s="381"/>
      <c r="R25" s="381"/>
      <c r="S25" s="381"/>
      <c r="T25" s="381"/>
      <c r="U25" s="18"/>
      <c r="V25" s="18"/>
      <c r="W25" s="383"/>
      <c r="X25" s="383"/>
      <c r="Y25" s="383"/>
      <c r="Z25" s="383"/>
      <c r="AA25" s="383"/>
      <c r="AB25" s="383"/>
      <c r="AC25" s="18"/>
      <c r="AD25" s="64"/>
      <c r="AE25" s="64"/>
      <c r="AF25" s="64"/>
      <c r="AG25" s="64"/>
      <c r="AH25" s="64"/>
      <c r="AI25" s="64"/>
      <c r="AJ25" s="64"/>
      <c r="AL25" s="10"/>
    </row>
    <row r="26" spans="1:38" ht="15.75" customHeight="1" x14ac:dyDescent="0.2">
      <c r="C26" s="84"/>
      <c r="D26" s="84"/>
      <c r="E26" s="18"/>
      <c r="F26" s="469">
        <v>2</v>
      </c>
      <c r="G26" s="529" t="s">
        <v>310</v>
      </c>
      <c r="H26" s="530"/>
      <c r="I26" s="530"/>
      <c r="J26" s="531"/>
      <c r="K26" s="532">
        <f>IF(G26&lt;&gt; "",VLOOKUP(G26,Catalogos!$G$29:$H$33,2,0),"")</f>
        <v>991379.31034482771</v>
      </c>
      <c r="L26" s="533"/>
      <c r="M26" s="526">
        <f>IF(F26&lt;&gt;"",IF(K26&lt;&gt;"",K26,0)*F26,0)</f>
        <v>1982758.6206896554</v>
      </c>
      <c r="N26" s="527"/>
      <c r="O26" s="527"/>
      <c r="P26" s="528"/>
      <c r="Q26" s="381"/>
      <c r="R26" s="381"/>
      <c r="S26" s="381"/>
      <c r="T26" s="381"/>
      <c r="U26" s="18"/>
      <c r="V26" s="18"/>
      <c r="W26" s="383"/>
      <c r="X26" s="383"/>
      <c r="Y26" s="383"/>
      <c r="Z26" s="383"/>
      <c r="AA26" s="383"/>
      <c r="AB26" s="383"/>
      <c r="AC26" s="18"/>
      <c r="AD26" s="64"/>
      <c r="AE26" s="64"/>
      <c r="AF26" s="64"/>
      <c r="AG26" s="64"/>
      <c r="AH26" s="64"/>
      <c r="AI26" s="64"/>
      <c r="AJ26" s="64"/>
      <c r="AL26" s="10"/>
    </row>
    <row r="27" spans="1:38" ht="15.75" customHeight="1" x14ac:dyDescent="0.2">
      <c r="C27" s="84"/>
      <c r="D27" s="84"/>
      <c r="E27" s="18"/>
      <c r="F27" s="467">
        <v>1</v>
      </c>
      <c r="G27" s="491" t="s">
        <v>300</v>
      </c>
      <c r="H27" s="492"/>
      <c r="I27" s="492"/>
      <c r="J27" s="493"/>
      <c r="K27" s="494">
        <f>IF(G27&lt;&gt; "",VLOOKUP(G27,Catalogos!$G$29:$H$33,2,0),"")</f>
        <v>757662.06896551733</v>
      </c>
      <c r="L27" s="495"/>
      <c r="M27" s="496">
        <f t="shared" ref="M27:M29" si="0">IF(F27&lt;&gt;"",IF(K27&lt;&gt;"",K27,0)*F27,0)</f>
        <v>757662.06896551733</v>
      </c>
      <c r="N27" s="497"/>
      <c r="O27" s="497"/>
      <c r="P27" s="498"/>
      <c r="Q27" s="381"/>
      <c r="R27" s="381"/>
      <c r="S27" s="381"/>
      <c r="T27" s="381"/>
      <c r="U27" s="18"/>
      <c r="V27" s="18"/>
      <c r="W27" s="383"/>
      <c r="X27" s="383"/>
      <c r="Y27" s="383"/>
      <c r="Z27" s="383"/>
      <c r="AA27" s="383"/>
      <c r="AB27" s="383"/>
      <c r="AC27" s="18"/>
      <c r="AD27" s="64"/>
      <c r="AE27" s="64"/>
      <c r="AF27" s="64"/>
      <c r="AG27" s="64"/>
      <c r="AH27" s="64"/>
      <c r="AI27" s="64"/>
      <c r="AJ27" s="64"/>
      <c r="AL27" s="10"/>
    </row>
    <row r="28" spans="1:38" ht="15.75" customHeight="1" x14ac:dyDescent="0.2">
      <c r="C28" s="84"/>
      <c r="D28" s="84"/>
      <c r="E28" s="18"/>
      <c r="F28" s="467"/>
      <c r="G28" s="491"/>
      <c r="H28" s="492"/>
      <c r="I28" s="492"/>
      <c r="J28" s="493"/>
      <c r="K28" s="494" t="str">
        <f>IF(G28&lt;&gt; "",VLOOKUP(G28,Catalogos!$G$29:$H$33,2,0),"")</f>
        <v/>
      </c>
      <c r="L28" s="495"/>
      <c r="M28" s="496">
        <f t="shared" si="0"/>
        <v>0</v>
      </c>
      <c r="N28" s="497"/>
      <c r="O28" s="497"/>
      <c r="P28" s="498"/>
      <c r="Q28" s="381"/>
      <c r="R28" s="381"/>
      <c r="S28" s="381"/>
      <c r="T28" s="381"/>
      <c r="U28" s="18"/>
      <c r="V28" s="18"/>
      <c r="W28" s="383"/>
      <c r="X28" s="383"/>
      <c r="Y28" s="383"/>
      <c r="Z28" s="383"/>
      <c r="AA28" s="383"/>
      <c r="AB28" s="383"/>
      <c r="AC28" s="18"/>
      <c r="AD28" s="64"/>
      <c r="AE28" s="64"/>
      <c r="AF28" s="64"/>
      <c r="AG28" s="64"/>
      <c r="AH28" s="64"/>
      <c r="AI28" s="64"/>
      <c r="AJ28" s="64"/>
      <c r="AL28" s="10"/>
    </row>
    <row r="29" spans="1:38" ht="15.75" customHeight="1" thickBot="1" x14ac:dyDescent="0.25">
      <c r="C29" s="84"/>
      <c r="D29" s="84"/>
      <c r="E29" s="18"/>
      <c r="F29" s="468"/>
      <c r="G29" s="534"/>
      <c r="H29" s="535"/>
      <c r="I29" s="535"/>
      <c r="J29" s="536"/>
      <c r="K29" s="537" t="str">
        <f>IF(G29&lt;&gt; "",VLOOKUP(G29,Catalogos!$G$29:$H$33,2,0),"")</f>
        <v/>
      </c>
      <c r="L29" s="538"/>
      <c r="M29" s="539">
        <f t="shared" si="0"/>
        <v>0</v>
      </c>
      <c r="N29" s="540"/>
      <c r="O29" s="540"/>
      <c r="P29" s="541"/>
      <c r="Q29" s="381"/>
      <c r="R29" s="381"/>
      <c r="S29" s="381"/>
      <c r="T29" s="381"/>
      <c r="U29" s="18"/>
      <c r="V29" s="18"/>
      <c r="W29" s="383"/>
      <c r="X29" s="383"/>
      <c r="Y29" s="383"/>
      <c r="Z29" s="383"/>
      <c r="AA29" s="383"/>
      <c r="AB29" s="383"/>
      <c r="AC29" s="18"/>
      <c r="AD29" s="64"/>
      <c r="AE29" s="64"/>
      <c r="AF29" s="64"/>
      <c r="AG29" s="64"/>
      <c r="AH29" s="64"/>
      <c r="AI29" s="64"/>
      <c r="AJ29" s="64"/>
      <c r="AL29" s="10"/>
    </row>
    <row r="30" spans="1:38" ht="13.5" thickBot="1" x14ac:dyDescent="0.25">
      <c r="C30" s="84"/>
      <c r="D30" s="84"/>
      <c r="E30" s="18"/>
      <c r="F30" s="380"/>
      <c r="G30" s="380"/>
      <c r="H30" s="380"/>
      <c r="I30" s="380"/>
      <c r="J30" s="380"/>
      <c r="K30" s="380"/>
      <c r="L30" s="380"/>
      <c r="M30" s="508">
        <f>SUM(M26:P29)</f>
        <v>2740420.6896551726</v>
      </c>
      <c r="N30" s="509"/>
      <c r="O30" s="509"/>
      <c r="P30" s="510"/>
      <c r="Q30" s="380"/>
      <c r="R30" s="380"/>
      <c r="S30" s="380"/>
      <c r="X30" s="380"/>
      <c r="Y30" s="380"/>
      <c r="Z30" s="380"/>
      <c r="AA30" s="380"/>
      <c r="AB30" s="380"/>
      <c r="AC30" s="18"/>
      <c r="AD30" s="64"/>
      <c r="AE30" s="64"/>
      <c r="AF30" s="64"/>
      <c r="AG30" s="64"/>
      <c r="AH30" s="64"/>
      <c r="AI30" s="64"/>
      <c r="AJ30" s="64"/>
      <c r="AL30" s="10"/>
    </row>
    <row r="31" spans="1:38" x14ac:dyDescent="0.2">
      <c r="C31" s="84"/>
      <c r="D31" s="84"/>
      <c r="E31" s="18"/>
      <c r="F31" s="18"/>
      <c r="G31" s="18"/>
      <c r="H31" s="18"/>
      <c r="I31" s="18"/>
      <c r="J31" s="18"/>
      <c r="K31" s="18"/>
      <c r="L31" s="18"/>
      <c r="M31" s="18"/>
      <c r="N31" s="18"/>
      <c r="O31" s="18"/>
      <c r="P31" s="380"/>
      <c r="Q31" s="380"/>
      <c r="R31" s="380"/>
      <c r="S31" s="380"/>
      <c r="T31" s="380"/>
      <c r="U31" s="380"/>
      <c r="V31" s="380"/>
      <c r="W31" s="380"/>
      <c r="X31" s="380"/>
      <c r="Y31" s="380"/>
      <c r="Z31" s="380"/>
      <c r="AA31" s="380"/>
      <c r="AC31" s="18"/>
      <c r="AD31" s="64"/>
      <c r="AE31" s="64"/>
      <c r="AF31" s="64"/>
      <c r="AG31" s="64"/>
      <c r="AH31" s="64"/>
      <c r="AI31" s="64"/>
      <c r="AJ31" s="64"/>
      <c r="AL31" s="10"/>
    </row>
    <row r="32" spans="1:38" x14ac:dyDescent="0.2">
      <c r="C32" s="84"/>
      <c r="D32" s="84"/>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64"/>
      <c r="AE32" s="64"/>
      <c r="AF32" s="64"/>
      <c r="AG32" s="64"/>
      <c r="AH32" s="64"/>
      <c r="AI32" s="64"/>
      <c r="AJ32" s="64"/>
      <c r="AL32" s="10"/>
    </row>
    <row r="33" spans="1:39" x14ac:dyDescent="0.2">
      <c r="C33" s="84"/>
      <c r="D33" s="84"/>
      <c r="E33" s="64"/>
      <c r="F33" s="68"/>
      <c r="G33" s="68"/>
      <c r="H33" s="68"/>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L33" s="10"/>
    </row>
    <row r="34" spans="1:39" ht="15.75" customHeight="1" x14ac:dyDescent="0.2">
      <c r="C34" s="84"/>
      <c r="D34" s="84"/>
      <c r="E34" s="64"/>
      <c r="F34" s="520" t="s">
        <v>290</v>
      </c>
      <c r="G34" s="520"/>
      <c r="H34" s="520"/>
      <c r="I34" s="520"/>
      <c r="J34" s="520"/>
      <c r="K34" s="521"/>
      <c r="L34" s="517">
        <f>Field_Equipo*IF(Field_Moneda=Field_MonEq,1,IF(Field_Moneda="PESOS",
                                                                                                                              IF(Field_MonEq&lt;&gt;"PESOS",Field_TC,1/Field_TC),
                                                                                                                 IF(Field_MonEq&lt;&gt;"PESOS",Field_TC,1/Field_TC)))</f>
        <v>2740420.6896551726</v>
      </c>
      <c r="M34" s="518"/>
      <c r="N34" s="518"/>
      <c r="O34" s="519"/>
      <c r="P34" s="382" t="str">
        <f>IF(Field_Moneda="Pesos","M.N.","USD")</f>
        <v>M.N.</v>
      </c>
      <c r="Q34" s="64"/>
      <c r="R34" s="595" t="s">
        <v>218</v>
      </c>
      <c r="S34" s="595"/>
      <c r="T34" s="595"/>
      <c r="U34" s="595"/>
      <c r="V34" s="595"/>
      <c r="W34" s="351"/>
      <c r="X34" s="547">
        <f>L34*(1+B2)</f>
        <v>3178888</v>
      </c>
      <c r="Y34" s="548"/>
      <c r="Z34" s="548"/>
      <c r="AA34" s="548"/>
      <c r="AB34" s="549"/>
      <c r="AC34" s="382" t="str">
        <f>IF(Field_Moneda="Pesos","M.N.","USD")</f>
        <v>M.N.</v>
      </c>
      <c r="AD34" s="64"/>
      <c r="AE34" s="64"/>
      <c r="AF34" s="64"/>
      <c r="AG34" s="64"/>
      <c r="AH34" s="64"/>
      <c r="AI34" s="64"/>
      <c r="AJ34" s="64"/>
      <c r="AL34" s="10"/>
    </row>
    <row r="35" spans="1:39" x14ac:dyDescent="0.2">
      <c r="C35" s="84"/>
      <c r="D35" s="84"/>
      <c r="E35" s="64"/>
      <c r="F35" s="68"/>
      <c r="G35" s="68"/>
      <c r="H35" s="68"/>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L35" s="10"/>
    </row>
    <row r="36" spans="1:39" ht="3.95" customHeight="1" x14ac:dyDescent="0.2">
      <c r="C36" s="95"/>
      <c r="D36" s="95"/>
      <c r="E36" s="386"/>
      <c r="F36" s="392"/>
      <c r="G36" s="392"/>
      <c r="H36" s="392"/>
      <c r="I36" s="392"/>
      <c r="J36" s="392"/>
      <c r="K36" s="386"/>
      <c r="L36" s="386"/>
      <c r="M36" s="386"/>
      <c r="N36" s="386"/>
      <c r="O36" s="386"/>
      <c r="P36" s="386"/>
      <c r="Q36" s="386"/>
      <c r="R36" s="386"/>
      <c r="S36" s="386"/>
      <c r="T36" s="386"/>
      <c r="U36" s="386"/>
      <c r="V36" s="386"/>
      <c r="W36" s="392"/>
      <c r="X36" s="392"/>
      <c r="Y36" s="392"/>
      <c r="Z36" s="392"/>
      <c r="AA36" s="393"/>
      <c r="AB36" s="393"/>
      <c r="AC36" s="394"/>
      <c r="AD36" s="393"/>
      <c r="AE36" s="393"/>
      <c r="AF36" s="394"/>
      <c r="AG36" s="393"/>
      <c r="AH36" s="393"/>
      <c r="AI36" s="394"/>
      <c r="AJ36" s="394"/>
      <c r="AL36" s="11"/>
      <c r="AM36" s="10"/>
    </row>
    <row r="37" spans="1:39" ht="14.25" x14ac:dyDescent="0.2">
      <c r="C37" s="95"/>
      <c r="D37" s="95"/>
      <c r="E37" s="17"/>
      <c r="F37" s="359"/>
      <c r="G37" s="387"/>
      <c r="H37" s="387"/>
      <c r="I37" s="387"/>
      <c r="J37" s="361"/>
      <c r="K37" s="388"/>
      <c r="L37" s="388"/>
      <c r="M37" s="388"/>
      <c r="N37" s="388"/>
      <c r="O37" s="388"/>
      <c r="P37" s="388"/>
      <c r="Q37" s="389"/>
      <c r="R37" s="389"/>
      <c r="S37" s="18"/>
      <c r="T37" s="18"/>
      <c r="U37" s="18"/>
      <c r="V37" s="17"/>
      <c r="W37" s="18"/>
      <c r="X37" s="18"/>
      <c r="Y37" s="18"/>
      <c r="Z37" s="18"/>
      <c r="AA37" s="390"/>
      <c r="AB37" s="390"/>
      <c r="AC37" s="390"/>
      <c r="AD37" s="390"/>
      <c r="AE37" s="390"/>
      <c r="AF37" s="390"/>
      <c r="AG37" s="390"/>
      <c r="AH37" s="390"/>
      <c r="AI37" s="390"/>
      <c r="AJ37" s="390"/>
      <c r="AM37" s="10"/>
    </row>
    <row r="38" spans="1:39" x14ac:dyDescent="0.2">
      <c r="C38" s="95"/>
      <c r="D38" s="95"/>
      <c r="E38" s="73"/>
      <c r="F38" s="76"/>
      <c r="G38" s="77"/>
      <c r="H38" s="77"/>
      <c r="I38" s="77"/>
      <c r="J38" s="77"/>
      <c r="K38" s="78"/>
      <c r="L38" s="78"/>
      <c r="M38" s="78"/>
      <c r="N38" s="78"/>
      <c r="O38" s="78"/>
      <c r="P38" s="78"/>
      <c r="Q38" s="79"/>
      <c r="R38" s="79"/>
      <c r="S38" s="64"/>
      <c r="T38" s="64"/>
      <c r="U38" s="64"/>
      <c r="V38" s="64"/>
      <c r="W38" s="64"/>
      <c r="X38" s="64"/>
      <c r="Y38" s="64"/>
      <c r="Z38" s="64"/>
      <c r="AA38" s="64"/>
      <c r="AB38" s="64"/>
      <c r="AC38" s="73"/>
      <c r="AD38" s="73"/>
      <c r="AE38" s="63"/>
      <c r="AF38" s="63"/>
      <c r="AG38" s="63"/>
      <c r="AH38" s="63"/>
      <c r="AI38" s="63"/>
      <c r="AJ38" s="63"/>
      <c r="AM38" s="10"/>
    </row>
    <row r="39" spans="1:39" ht="15.75" customHeight="1" x14ac:dyDescent="0.25">
      <c r="C39" s="95"/>
      <c r="D39" s="95"/>
      <c r="E39" s="73"/>
      <c r="F39" s="366" t="s">
        <v>268</v>
      </c>
      <c r="G39" s="384"/>
      <c r="H39" s="384"/>
      <c r="I39" s="384"/>
      <c r="J39" s="80"/>
      <c r="K39" s="63"/>
      <c r="L39" s="63"/>
      <c r="M39" s="63"/>
      <c r="N39" s="63"/>
      <c r="O39" s="63"/>
      <c r="P39" s="385"/>
      <c r="Q39" s="81"/>
      <c r="R39" s="81"/>
      <c r="S39" s="63"/>
      <c r="T39" s="63"/>
      <c r="U39" s="63"/>
      <c r="V39" s="63"/>
      <c r="W39" s="391" t="s">
        <v>257</v>
      </c>
      <c r="X39" s="75"/>
      <c r="Y39" s="75"/>
      <c r="Z39" s="544" t="s">
        <v>258</v>
      </c>
      <c r="AA39" s="545"/>
      <c r="AB39" s="546"/>
      <c r="AC39" s="63"/>
      <c r="AD39" s="82"/>
      <c r="AE39" s="63"/>
      <c r="AF39" s="63"/>
      <c r="AG39" s="63"/>
      <c r="AH39" s="63"/>
      <c r="AI39" s="65"/>
      <c r="AJ39" s="63"/>
      <c r="AK39" s="12"/>
    </row>
    <row r="40" spans="1:39" x14ac:dyDescent="0.2">
      <c r="C40" s="95"/>
      <c r="D40" s="95"/>
      <c r="E40" s="73"/>
      <c r="F40" s="72"/>
      <c r="G40" s="72"/>
      <c r="H40" s="72"/>
      <c r="I40" s="72"/>
      <c r="J40" s="72"/>
      <c r="K40" s="73"/>
      <c r="L40" s="73"/>
      <c r="M40" s="73"/>
      <c r="N40" s="73"/>
      <c r="O40" s="73"/>
      <c r="P40" s="73"/>
      <c r="Q40" s="74"/>
      <c r="R40" s="74"/>
      <c r="S40" s="75"/>
      <c r="T40" s="75"/>
      <c r="U40" s="75"/>
      <c r="V40" s="75"/>
      <c r="W40" s="73"/>
      <c r="X40" s="73"/>
      <c r="Y40" s="73"/>
      <c r="Z40" s="73"/>
      <c r="AA40" s="73"/>
      <c r="AB40" s="73"/>
      <c r="AC40" s="73"/>
      <c r="AD40" s="73"/>
      <c r="AE40" s="64"/>
      <c r="AF40" s="64"/>
      <c r="AG40" s="64"/>
      <c r="AH40" s="64"/>
      <c r="AI40" s="64"/>
      <c r="AJ40" s="64"/>
      <c r="AK40" s="13"/>
    </row>
    <row r="41" spans="1:39" ht="3.95" customHeight="1" x14ac:dyDescent="0.2">
      <c r="C41" s="95"/>
      <c r="D41" s="95"/>
      <c r="E41" s="386"/>
      <c r="F41" s="392"/>
      <c r="G41" s="392"/>
      <c r="H41" s="392"/>
      <c r="I41" s="392"/>
      <c r="J41" s="392"/>
      <c r="K41" s="386"/>
      <c r="L41" s="386"/>
      <c r="M41" s="386"/>
      <c r="N41" s="386"/>
      <c r="O41" s="386"/>
      <c r="P41" s="386"/>
      <c r="Q41" s="386"/>
      <c r="R41" s="386"/>
      <c r="S41" s="386"/>
      <c r="T41" s="386"/>
      <c r="U41" s="386"/>
      <c r="V41" s="386"/>
      <c r="W41" s="392"/>
      <c r="X41" s="392"/>
      <c r="Y41" s="392"/>
      <c r="Z41" s="392"/>
      <c r="AA41" s="393"/>
      <c r="AB41" s="393"/>
      <c r="AC41" s="394"/>
      <c r="AD41" s="393"/>
      <c r="AE41" s="393"/>
      <c r="AF41" s="394"/>
      <c r="AG41" s="393"/>
      <c r="AH41" s="393"/>
      <c r="AI41" s="394"/>
      <c r="AJ41" s="394"/>
      <c r="AK41" s="13"/>
    </row>
    <row r="42" spans="1:39" x14ac:dyDescent="0.2">
      <c r="C42" s="95"/>
      <c r="D42" s="95"/>
      <c r="E42" s="17"/>
      <c r="F42" s="14"/>
      <c r="G42" s="15"/>
      <c r="H42" s="15"/>
      <c r="I42" s="15"/>
      <c r="J42" s="15"/>
      <c r="K42" s="16"/>
      <c r="L42" s="16"/>
      <c r="M42" s="17"/>
      <c r="N42" s="17"/>
      <c r="O42" s="16"/>
      <c r="P42" s="16"/>
      <c r="Q42" s="17"/>
      <c r="R42" s="17"/>
      <c r="S42" s="16"/>
      <c r="T42" s="16"/>
      <c r="U42" s="17"/>
      <c r="V42" s="17"/>
      <c r="W42" s="16"/>
      <c r="X42" s="16"/>
      <c r="Y42" s="17"/>
      <c r="Z42" s="17"/>
      <c r="AA42" s="16"/>
      <c r="AB42" s="16"/>
      <c r="AC42" s="17"/>
      <c r="AD42" s="17"/>
      <c r="AE42" s="132"/>
      <c r="AF42" s="132"/>
      <c r="AG42" s="132"/>
      <c r="AH42" s="132"/>
      <c r="AI42" s="132"/>
      <c r="AJ42" s="132"/>
      <c r="AK42" s="13"/>
    </row>
    <row r="43" spans="1:39" hidden="1" x14ac:dyDescent="0.2">
      <c r="A43" s="399"/>
      <c r="B43" s="399"/>
      <c r="C43" s="96"/>
      <c r="D43" s="96"/>
      <c r="E43" s="17"/>
      <c r="F43" s="604" t="s">
        <v>61</v>
      </c>
      <c r="G43" s="605"/>
      <c r="H43" s="605"/>
      <c r="I43" s="605"/>
      <c r="J43" s="35"/>
      <c r="K43" s="512">
        <f>IF(M45,1,"")</f>
        <v>1</v>
      </c>
      <c r="L43" s="513"/>
      <c r="M43" s="514"/>
      <c r="N43" s="17"/>
      <c r="O43" s="512">
        <f>IF(O44=1,2,"")</f>
        <v>2</v>
      </c>
      <c r="P43" s="513"/>
      <c r="Q43" s="514"/>
      <c r="R43" s="17"/>
      <c r="S43" s="512">
        <f>IF(S44=1,3,"")</f>
        <v>3</v>
      </c>
      <c r="T43" s="513"/>
      <c r="U43" s="514"/>
      <c r="V43" s="17"/>
      <c r="W43" s="512">
        <f>IF(W44=1,4,"")</f>
        <v>4</v>
      </c>
      <c r="X43" s="513"/>
      <c r="Y43" s="514"/>
      <c r="Z43" s="17"/>
      <c r="AA43" s="522">
        <f>IF(AA44=1,5,"")</f>
        <v>5</v>
      </c>
      <c r="AB43" s="522"/>
      <c r="AC43" s="522"/>
      <c r="AD43" s="17"/>
      <c r="AE43" s="395">
        <f>COUNTIF(Rango_OrdenPlazos,"&gt;0")</f>
        <v>5</v>
      </c>
      <c r="AF43" s="17"/>
      <c r="AG43" s="17"/>
      <c r="AH43" s="17"/>
      <c r="AI43" s="396">
        <f>IF(Field_Num_PlazosSel&gt;2,IFERROR(SMALL(Rango_OrdenPlazos, 1),0),0)</f>
        <v>1</v>
      </c>
      <c r="AJ43" s="397">
        <f>IF(Field_Num_PlazosSel&gt;2,
IFERROR(SMALL(Rango_OrdenPlazos,2),0),
IF(Field_Num_PlazosSel&gt;1,
IFERROR(SMALL(Rango_OrdenPlazos,1),0),
IFERROR(SMALL(Rango_OrdenPlazos,2),0)
))</f>
        <v>2</v>
      </c>
      <c r="AK43" s="13"/>
    </row>
    <row r="44" spans="1:39" hidden="1" x14ac:dyDescent="0.2">
      <c r="A44" s="399"/>
      <c r="B44" s="399"/>
      <c r="C44" s="97"/>
      <c r="D44" s="97"/>
      <c r="E44" s="17"/>
      <c r="F44" s="604"/>
      <c r="G44" s="605"/>
      <c r="H44" s="605"/>
      <c r="I44" s="605"/>
      <c r="J44" s="35"/>
      <c r="K44" s="580">
        <f>IF(M45,1,0)</f>
        <v>1</v>
      </c>
      <c r="L44" s="581"/>
      <c r="M44" s="582"/>
      <c r="N44" s="17"/>
      <c r="O44" s="580">
        <f>IF(Q45,1,0)</f>
        <v>1</v>
      </c>
      <c r="P44" s="581"/>
      <c r="Q44" s="582"/>
      <c r="R44" s="17"/>
      <c r="S44" s="580">
        <f>IF(U45,1,0)</f>
        <v>1</v>
      </c>
      <c r="T44" s="581"/>
      <c r="U44" s="582"/>
      <c r="V44" s="17"/>
      <c r="W44" s="580">
        <f>IF(Y45,1,0)</f>
        <v>1</v>
      </c>
      <c r="X44" s="581"/>
      <c r="Y44" s="582"/>
      <c r="Z44" s="17"/>
      <c r="AA44" s="580">
        <f>IF(AC45,1,0)</f>
        <v>1</v>
      </c>
      <c r="AB44" s="581"/>
      <c r="AC44" s="582"/>
      <c r="AD44" s="17"/>
      <c r="AE44" s="17"/>
      <c r="AF44" s="17"/>
      <c r="AG44" s="17"/>
      <c r="AH44" s="17"/>
      <c r="AI44" s="398"/>
      <c r="AJ44" s="397">
        <f>IF(Field_Num_PlazosSel = 1,IFERROR(SMALL(Rango_OrdenPlazos, 1),0), IF(Field_Num_PlazosSel&lt;4, MAX(Rango_OrdenPlazos   ),IFERROR(SMALL(Rango_OrdenPlazos, 3),0)))</f>
        <v>3</v>
      </c>
      <c r="AK44" s="13"/>
    </row>
    <row r="45" spans="1:39" ht="17.25" customHeight="1" x14ac:dyDescent="0.2">
      <c r="C45" s="95"/>
      <c r="D45" s="95"/>
      <c r="E45" s="88"/>
      <c r="F45" s="606" t="s">
        <v>60</v>
      </c>
      <c r="G45" s="607"/>
      <c r="H45" s="607"/>
      <c r="I45" s="607"/>
      <c r="J45" s="38"/>
      <c r="K45" s="107">
        <v>24</v>
      </c>
      <c r="L45" s="107"/>
      <c r="M45" s="131" t="b">
        <v>1</v>
      </c>
      <c r="N45" s="38"/>
      <c r="O45" s="107">
        <v>36</v>
      </c>
      <c r="P45" s="107"/>
      <c r="Q45" s="131" t="b">
        <v>1</v>
      </c>
      <c r="R45" s="38"/>
      <c r="S45" s="107">
        <v>48</v>
      </c>
      <c r="T45" s="107"/>
      <c r="U45" s="131" t="b">
        <v>1</v>
      </c>
      <c r="V45" s="38"/>
      <c r="W45" s="107">
        <v>60</v>
      </c>
      <c r="X45" s="107"/>
      <c r="Y45" s="131" t="b">
        <v>1</v>
      </c>
      <c r="Z45" s="38"/>
      <c r="AA45" s="107">
        <v>72</v>
      </c>
      <c r="AB45" s="107"/>
      <c r="AC45" s="131" t="b">
        <v>1</v>
      </c>
      <c r="AD45" s="39"/>
      <c r="AE45" s="132"/>
      <c r="AF45" s="543" t="s">
        <v>219</v>
      </c>
      <c r="AG45" s="543"/>
      <c r="AH45" s="543"/>
      <c r="AI45" s="543"/>
      <c r="AJ45" s="543"/>
      <c r="AK45" s="13"/>
    </row>
    <row r="46" spans="1:39" ht="5.25" customHeight="1" x14ac:dyDescent="0.2">
      <c r="C46" s="95"/>
      <c r="D46" s="95"/>
      <c r="E46" s="88"/>
      <c r="F46" s="40"/>
      <c r="G46" s="40"/>
      <c r="H46" s="40"/>
      <c r="I46" s="41"/>
      <c r="J46" s="41"/>
      <c r="K46" s="41"/>
      <c r="L46" s="41"/>
      <c r="M46" s="41"/>
      <c r="N46" s="41"/>
      <c r="O46" s="41"/>
      <c r="P46" s="41"/>
      <c r="Q46" s="41"/>
      <c r="R46" s="41"/>
      <c r="S46" s="41"/>
      <c r="T46" s="41"/>
      <c r="U46" s="41"/>
      <c r="V46" s="41"/>
      <c r="W46" s="41"/>
      <c r="X46" s="41"/>
      <c r="Y46" s="41"/>
      <c r="Z46" s="42"/>
      <c r="AA46" s="41"/>
      <c r="AB46" s="41"/>
      <c r="AC46" s="41"/>
      <c r="AD46" s="43"/>
      <c r="AE46" s="132"/>
      <c r="AF46" s="87"/>
      <c r="AG46" s="87"/>
      <c r="AH46" s="87"/>
      <c r="AI46" s="87"/>
      <c r="AJ46" s="87"/>
      <c r="AK46" s="13"/>
    </row>
    <row r="47" spans="1:39" ht="15" x14ac:dyDescent="0.2">
      <c r="C47" s="95"/>
      <c r="D47" s="95"/>
      <c r="E47" s="88"/>
      <c r="F47" s="36"/>
      <c r="G47" s="44"/>
      <c r="H47" s="602" t="s">
        <v>54</v>
      </c>
      <c r="I47" s="602"/>
      <c r="J47" s="45"/>
      <c r="K47" s="500">
        <f>$L$34</f>
        <v>2740420.6896551726</v>
      </c>
      <c r="L47" s="500"/>
      <c r="M47" s="500"/>
      <c r="N47" s="41"/>
      <c r="O47" s="500">
        <f>$L$34</f>
        <v>2740420.6896551726</v>
      </c>
      <c r="P47" s="500"/>
      <c r="Q47" s="500"/>
      <c r="R47" s="42"/>
      <c r="S47" s="500">
        <f>$L$34</f>
        <v>2740420.6896551726</v>
      </c>
      <c r="T47" s="500"/>
      <c r="U47" s="500"/>
      <c r="V47" s="41"/>
      <c r="W47" s="500">
        <f>$L$34</f>
        <v>2740420.6896551726</v>
      </c>
      <c r="X47" s="500"/>
      <c r="Y47" s="500"/>
      <c r="Z47" s="42"/>
      <c r="AA47" s="500">
        <f>$L$34</f>
        <v>2740420.6896551726</v>
      </c>
      <c r="AB47" s="500"/>
      <c r="AC47" s="500"/>
      <c r="AD47" s="43"/>
      <c r="AE47" s="132"/>
      <c r="AF47" s="87"/>
      <c r="AG47" s="458" t="s">
        <v>283</v>
      </c>
      <c r="AH47" s="37"/>
      <c r="AI47" s="90"/>
      <c r="AJ47" s="453" t="str">
        <f>IF(Catalogos!C48=1,HYPERLINK(MID(A117,FIND("[",A117), FIND("]",A117)- FIND("[",A117)+1 )  &amp;  "Propuesta!A1","►►"),"")</f>
        <v/>
      </c>
      <c r="AK47" s="13"/>
      <c r="AL47" s="354"/>
      <c r="AM47" s="355"/>
    </row>
    <row r="48" spans="1:39" ht="4.5" customHeight="1" x14ac:dyDescent="0.2">
      <c r="C48" s="95"/>
      <c r="D48" s="95"/>
      <c r="E48" s="88"/>
      <c r="F48" s="36"/>
      <c r="G48" s="44"/>
      <c r="H48" s="44"/>
      <c r="I48" s="44"/>
      <c r="J48" s="46"/>
      <c r="K48" s="40"/>
      <c r="L48" s="40"/>
      <c r="M48" s="40"/>
      <c r="N48" s="41"/>
      <c r="O48" s="40"/>
      <c r="P48" s="40"/>
      <c r="Q48" s="40"/>
      <c r="R48" s="42"/>
      <c r="S48" s="40"/>
      <c r="T48" s="40"/>
      <c r="U48" s="40"/>
      <c r="V48" s="41"/>
      <c r="W48" s="40"/>
      <c r="X48" s="40"/>
      <c r="Y48" s="40"/>
      <c r="Z48" s="42"/>
      <c r="AA48" s="40"/>
      <c r="AB48" s="40"/>
      <c r="AC48" s="40"/>
      <c r="AD48" s="43"/>
      <c r="AE48" s="132"/>
      <c r="AF48" s="87"/>
      <c r="AG48" s="87"/>
      <c r="AH48" s="87"/>
      <c r="AI48" s="90"/>
      <c r="AJ48" s="452"/>
      <c r="AK48" s="13"/>
      <c r="AL48" s="354"/>
      <c r="AM48" s="355"/>
    </row>
    <row r="49" spans="1:39" ht="15" x14ac:dyDescent="0.2">
      <c r="C49" s="95"/>
      <c r="D49" s="95"/>
      <c r="E49" s="88"/>
      <c r="F49" s="40"/>
      <c r="G49" s="600" t="s">
        <v>0</v>
      </c>
      <c r="H49" s="600"/>
      <c r="I49" s="600"/>
      <c r="J49" s="45"/>
      <c r="K49" s="558">
        <v>0</v>
      </c>
      <c r="L49" s="558"/>
      <c r="M49" s="558"/>
      <c r="N49" s="41"/>
      <c r="O49" s="558">
        <v>0</v>
      </c>
      <c r="P49" s="558"/>
      <c r="Q49" s="558"/>
      <c r="R49" s="42"/>
      <c r="S49" s="558">
        <v>0</v>
      </c>
      <c r="T49" s="558"/>
      <c r="U49" s="558"/>
      <c r="V49" s="41"/>
      <c r="W49" s="558">
        <v>0</v>
      </c>
      <c r="X49" s="558"/>
      <c r="Y49" s="558"/>
      <c r="Z49" s="42"/>
      <c r="AA49" s="558">
        <v>0</v>
      </c>
      <c r="AB49" s="558"/>
      <c r="AC49" s="558"/>
      <c r="AD49" s="43"/>
      <c r="AE49" s="132"/>
      <c r="AF49" s="87"/>
      <c r="AG49" s="458" t="s">
        <v>285</v>
      </c>
      <c r="AH49" s="37"/>
      <c r="AI49" s="90"/>
      <c r="AJ49" s="453" t="str">
        <f ca="1">IF(Catalogos!C48=2,HYPERLINK(MID(A117,FIND("[",A117), FIND("]",A117)- FIND("[",A117)+1 )  &amp;  "Propuesta!A100","►►"),"")</f>
        <v>►►</v>
      </c>
      <c r="AK49" s="13"/>
      <c r="AL49" s="355"/>
      <c r="AM49" s="355"/>
    </row>
    <row r="50" spans="1:39" ht="15" x14ac:dyDescent="0.2">
      <c r="C50" s="95"/>
      <c r="D50" s="95"/>
      <c r="E50" s="88"/>
      <c r="F50" s="40"/>
      <c r="G50" s="48"/>
      <c r="H50" s="48"/>
      <c r="I50" s="49"/>
      <c r="J50" s="49"/>
      <c r="K50" s="49"/>
      <c r="L50" s="49"/>
      <c r="M50" s="49"/>
      <c r="N50" s="49"/>
      <c r="O50" s="49"/>
      <c r="P50" s="49"/>
      <c r="Q50" s="49"/>
      <c r="R50" s="49"/>
      <c r="S50" s="49"/>
      <c r="T50" s="49"/>
      <c r="U50" s="49"/>
      <c r="V50" s="49"/>
      <c r="W50" s="49"/>
      <c r="X50" s="49"/>
      <c r="Y50" s="49"/>
      <c r="Z50" s="49"/>
      <c r="AA50" s="49"/>
      <c r="AB50" s="49"/>
      <c r="AC50" s="49"/>
      <c r="AD50" s="50"/>
      <c r="AE50" s="132"/>
      <c r="AF50" s="87"/>
      <c r="AG50" s="458" t="s">
        <v>284</v>
      </c>
      <c r="AH50" s="90"/>
      <c r="AI50" s="90"/>
      <c r="AJ50" s="453" t="str">
        <f>IF(Catalogos!C48=3,HYPERLINK(MID(A117,FIND("[",A117), FIND("]",A117)- FIND("[",A117)+1 )  &amp;  "Propuesta!A160","►►"),"")</f>
        <v/>
      </c>
      <c r="AK50" s="13"/>
      <c r="AL50" s="8"/>
      <c r="AM50" s="8"/>
    </row>
    <row r="51" spans="1:39" ht="12" customHeight="1" x14ac:dyDescent="0.2">
      <c r="C51" s="95"/>
      <c r="D51" s="95"/>
      <c r="E51" s="88"/>
      <c r="F51" s="19"/>
      <c r="G51" s="20"/>
      <c r="H51" s="20"/>
      <c r="I51" s="21"/>
      <c r="J51" s="21"/>
      <c r="K51" s="21"/>
      <c r="L51" s="21"/>
      <c r="M51" s="21"/>
      <c r="N51" s="21"/>
      <c r="O51" s="21"/>
      <c r="P51" s="21"/>
      <c r="Q51" s="21"/>
      <c r="R51" s="21"/>
      <c r="S51" s="21"/>
      <c r="T51" s="21"/>
      <c r="U51" s="21"/>
      <c r="V51" s="21"/>
      <c r="W51" s="21"/>
      <c r="X51" s="21"/>
      <c r="Y51" s="21"/>
      <c r="Z51" s="21"/>
      <c r="AA51" s="21"/>
      <c r="AB51" s="21"/>
      <c r="AC51" s="21"/>
      <c r="AD51" s="21"/>
      <c r="AE51" s="21"/>
      <c r="AF51" s="87"/>
      <c r="AG51" s="87"/>
      <c r="AH51" s="87"/>
      <c r="AI51" s="90"/>
      <c r="AJ51" s="93"/>
      <c r="AK51" s="13"/>
      <c r="AL51" s="91"/>
      <c r="AM51" s="8"/>
    </row>
    <row r="52" spans="1:39" ht="12.75" customHeight="1" x14ac:dyDescent="0.2">
      <c r="C52" s="95"/>
      <c r="D52" s="95"/>
      <c r="E52" s="112"/>
      <c r="F52" s="590" t="s">
        <v>91</v>
      </c>
      <c r="G52" s="40"/>
      <c r="H52" s="40"/>
      <c r="I52" s="51"/>
      <c r="J52" s="51"/>
      <c r="K52" s="593"/>
      <c r="L52" s="593"/>
      <c r="M52" s="593"/>
      <c r="N52" s="54"/>
      <c r="O52" s="594"/>
      <c r="P52" s="594"/>
      <c r="Q52" s="594"/>
      <c r="R52" s="54"/>
      <c r="S52" s="594"/>
      <c r="T52" s="594"/>
      <c r="U52" s="594"/>
      <c r="V52" s="54"/>
      <c r="W52" s="569"/>
      <c r="X52" s="569"/>
      <c r="Y52" s="569"/>
      <c r="Z52" s="54"/>
      <c r="AA52" s="562"/>
      <c r="AB52" s="562"/>
      <c r="AC52" s="562"/>
      <c r="AD52" s="55"/>
      <c r="AE52" s="132"/>
      <c r="AF52" s="87"/>
      <c r="AG52" s="87"/>
      <c r="AH52" s="87"/>
      <c r="AI52" s="90"/>
      <c r="AJ52" s="93"/>
      <c r="AK52" s="13"/>
    </row>
    <row r="53" spans="1:39" ht="12.75" hidden="1" customHeight="1" x14ac:dyDescent="0.2">
      <c r="A53" s="108"/>
      <c r="B53" s="108"/>
      <c r="C53" s="95"/>
      <c r="D53" s="95"/>
      <c r="E53" s="112"/>
      <c r="F53" s="590"/>
      <c r="G53" s="503" t="s">
        <v>39</v>
      </c>
      <c r="H53" s="503"/>
      <c r="I53" s="504"/>
      <c r="J53" s="53"/>
      <c r="K53" s="502">
        <v>0</v>
      </c>
      <c r="L53" s="502"/>
      <c r="M53" s="502"/>
      <c r="N53" s="113"/>
      <c r="O53" s="502">
        <v>0</v>
      </c>
      <c r="P53" s="502"/>
      <c r="Q53" s="502"/>
      <c r="R53" s="110"/>
      <c r="S53" s="502">
        <v>0</v>
      </c>
      <c r="T53" s="502"/>
      <c r="U53" s="502"/>
      <c r="V53" s="110"/>
      <c r="W53" s="502">
        <v>0</v>
      </c>
      <c r="X53" s="502"/>
      <c r="Y53" s="502"/>
      <c r="Z53" s="110"/>
      <c r="AA53" s="502">
        <v>0</v>
      </c>
      <c r="AB53" s="502"/>
      <c r="AC53" s="502"/>
      <c r="AD53" s="55"/>
      <c r="AE53" s="132"/>
      <c r="AK53" s="13"/>
    </row>
    <row r="54" spans="1:39" ht="12.75" hidden="1" customHeight="1" x14ac:dyDescent="0.2">
      <c r="A54" s="108"/>
      <c r="B54" s="108"/>
      <c r="C54" s="98"/>
      <c r="D54" s="98"/>
      <c r="E54" s="112"/>
      <c r="F54" s="590"/>
      <c r="G54" s="503" t="s">
        <v>57</v>
      </c>
      <c r="H54" s="503"/>
      <c r="I54" s="504"/>
      <c r="J54" s="53"/>
      <c r="K54" s="501">
        <f>Field_EquipoMontoTotal* Field_Enganche_Porc_Puro_1</f>
        <v>0</v>
      </c>
      <c r="L54" s="501"/>
      <c r="M54" s="501"/>
      <c r="N54" s="113"/>
      <c r="O54" s="501">
        <f>Field_EquipoMontoTotal* Field_Enganche_Porc_Puro_2</f>
        <v>0</v>
      </c>
      <c r="P54" s="501"/>
      <c r="Q54" s="501"/>
      <c r="R54" s="110"/>
      <c r="S54" s="501">
        <f>Field_EquipoMontoTotal* Field_Enganche_Porc_Puro_3</f>
        <v>0</v>
      </c>
      <c r="T54" s="501"/>
      <c r="U54" s="501"/>
      <c r="V54" s="110"/>
      <c r="W54" s="501">
        <f>Field_EquipoMontoTotal* Field_Enganche_Porc_Puro_4</f>
        <v>0</v>
      </c>
      <c r="X54" s="501"/>
      <c r="Y54" s="501"/>
      <c r="Z54" s="110"/>
      <c r="AA54" s="501">
        <f>Field_EquipoMontoTotal* Field_Enganche_Porc_Puro_5</f>
        <v>0</v>
      </c>
      <c r="AB54" s="501"/>
      <c r="AC54" s="501"/>
      <c r="AD54" s="55"/>
      <c r="AE54" s="132"/>
      <c r="AF54" s="87"/>
      <c r="AG54" s="87"/>
      <c r="AH54" s="87"/>
      <c r="AI54" s="90"/>
      <c r="AJ54" s="93"/>
    </row>
    <row r="55" spans="1:39" ht="12.75" hidden="1" customHeight="1" x14ac:dyDescent="0.2">
      <c r="A55" s="108"/>
      <c r="B55" s="108"/>
      <c r="C55" s="98"/>
      <c r="D55" s="98"/>
      <c r="E55" s="112"/>
      <c r="F55" s="590"/>
      <c r="G55" s="348" t="s">
        <v>68</v>
      </c>
      <c r="H55" s="348"/>
      <c r="I55" s="348"/>
      <c r="J55" s="52"/>
      <c r="K55" s="502">
        <v>0</v>
      </c>
      <c r="L55" s="502"/>
      <c r="M55" s="502"/>
      <c r="N55" s="114"/>
      <c r="O55" s="502">
        <v>0.02</v>
      </c>
      <c r="P55" s="502"/>
      <c r="Q55" s="502"/>
      <c r="R55" s="110"/>
      <c r="S55" s="502">
        <v>0.02</v>
      </c>
      <c r="T55" s="502"/>
      <c r="U55" s="502"/>
      <c r="V55" s="110"/>
      <c r="W55" s="502">
        <v>0.02</v>
      </c>
      <c r="X55" s="502"/>
      <c r="Y55" s="502"/>
      <c r="Z55" s="110"/>
      <c r="AA55" s="502">
        <v>0</v>
      </c>
      <c r="AB55" s="502"/>
      <c r="AC55" s="502"/>
      <c r="AD55" s="55"/>
      <c r="AE55" s="132"/>
      <c r="AF55" s="87"/>
      <c r="AG55" s="87"/>
      <c r="AH55" s="87"/>
      <c r="AI55" s="87"/>
      <c r="AJ55" s="87"/>
    </row>
    <row r="56" spans="1:39" ht="12.75" hidden="1" customHeight="1" x14ac:dyDescent="0.2">
      <c r="A56" s="108"/>
      <c r="B56" s="108"/>
      <c r="C56" s="98"/>
      <c r="D56" s="98"/>
      <c r="E56" s="112"/>
      <c r="F56" s="590"/>
      <c r="G56" s="348" t="s">
        <v>69</v>
      </c>
      <c r="H56" s="348"/>
      <c r="I56" s="348"/>
      <c r="J56" s="52"/>
      <c r="K56" s="501">
        <f>Field_BlindDPc_1*Field_EquipoMontoTotal</f>
        <v>0</v>
      </c>
      <c r="L56" s="501"/>
      <c r="M56" s="501"/>
      <c r="N56" s="114"/>
      <c r="O56" s="501">
        <f>Field_BlindDPc_2*Field_EquipoMontoTotal</f>
        <v>54808.413793103457</v>
      </c>
      <c r="P56" s="501"/>
      <c r="Q56" s="501"/>
      <c r="R56" s="110"/>
      <c r="S56" s="501">
        <f>Field_BlindDPc_3*Field_EquipoMontoTotal</f>
        <v>54808.413793103457</v>
      </c>
      <c r="T56" s="501"/>
      <c r="U56" s="501"/>
      <c r="V56" s="110"/>
      <c r="W56" s="501">
        <f>Field_BlindDPc_4*Field_EquipoMontoTotal</f>
        <v>54808.413793103457</v>
      </c>
      <c r="X56" s="501"/>
      <c r="Y56" s="501"/>
      <c r="Z56" s="110"/>
      <c r="AA56" s="501">
        <f>Field_BlindDPc_5*Field_EquipoMontoTotal</f>
        <v>0</v>
      </c>
      <c r="AB56" s="501"/>
      <c r="AC56" s="501"/>
      <c r="AD56" s="55"/>
      <c r="AE56" s="18"/>
      <c r="AF56" s="87"/>
      <c r="AG56" s="87"/>
      <c r="AH56" s="87"/>
      <c r="AI56" s="87"/>
      <c r="AJ56" s="87"/>
    </row>
    <row r="57" spans="1:39" ht="12.75" customHeight="1" x14ac:dyDescent="0.2">
      <c r="C57" s="95"/>
      <c r="D57" s="95"/>
      <c r="E57" s="112"/>
      <c r="F57" s="590"/>
      <c r="G57" s="348" t="s">
        <v>59</v>
      </c>
      <c r="H57" s="348"/>
      <c r="I57" s="349"/>
      <c r="J57" s="349"/>
      <c r="K57" s="501">
        <f>Field_EquipoMontoTotal+Field_Seguro1-Field_Enganche_Monto_Puro_1</f>
        <v>2740420.6896551726</v>
      </c>
      <c r="L57" s="501"/>
      <c r="M57" s="501"/>
      <c r="N57" s="114"/>
      <c r="O57" s="501">
        <f>Field_EquipoMontoTotal+Field_Seguro2-Field_Enganche_Monto_Puro_2</f>
        <v>2740420.6896551726</v>
      </c>
      <c r="P57" s="501"/>
      <c r="Q57" s="501"/>
      <c r="R57" s="110"/>
      <c r="S57" s="501">
        <f>Field_EquipoMontoTotal+Field_Seguro3-Field_Enganche_Monto_Puro_3</f>
        <v>2740420.6896551726</v>
      </c>
      <c r="T57" s="501"/>
      <c r="U57" s="501"/>
      <c r="V57" s="110"/>
      <c r="W57" s="501">
        <f>Field_EquipoMontoTotal+Field_Seguro4-Field_Enganche_Monto_Puro_4</f>
        <v>2740420.6896551726</v>
      </c>
      <c r="X57" s="501"/>
      <c r="Y57" s="501"/>
      <c r="Z57" s="110"/>
      <c r="AA57" s="501">
        <f>Field_EquipoMontoTotal+Field_Seguro5-Field_Enganche_Monto_Puro_5</f>
        <v>2740420.6896551726</v>
      </c>
      <c r="AB57" s="501"/>
      <c r="AC57" s="501"/>
      <c r="AD57" s="55"/>
      <c r="AE57" s="18"/>
      <c r="AF57" s="87"/>
      <c r="AG57" s="87"/>
      <c r="AH57" s="87"/>
      <c r="AI57" s="90"/>
      <c r="AJ57" s="93"/>
    </row>
    <row r="58" spans="1:39" ht="12.75" hidden="1" customHeight="1" x14ac:dyDescent="0.2">
      <c r="A58" s="108"/>
      <c r="B58" s="108"/>
      <c r="C58" s="95"/>
      <c r="D58" s="95"/>
      <c r="E58" s="112"/>
      <c r="F58" s="590"/>
      <c r="G58" s="503"/>
      <c r="H58" s="503"/>
      <c r="I58" s="504"/>
      <c r="J58" s="53"/>
      <c r="K58" s="115"/>
      <c r="L58" s="115"/>
      <c r="M58" s="116"/>
      <c r="N58" s="114"/>
      <c r="O58" s="110"/>
      <c r="P58" s="110"/>
      <c r="Q58" s="110"/>
      <c r="R58" s="110"/>
      <c r="S58" s="110"/>
      <c r="T58" s="110"/>
      <c r="U58" s="110"/>
      <c r="V58" s="110"/>
      <c r="W58" s="110"/>
      <c r="X58" s="110"/>
      <c r="Y58" s="110"/>
      <c r="Z58" s="110"/>
      <c r="AA58" s="116"/>
      <c r="AB58" s="116"/>
      <c r="AC58" s="116"/>
      <c r="AD58" s="55"/>
      <c r="AE58" s="18"/>
      <c r="AF58" s="87"/>
      <c r="AG58" s="87"/>
      <c r="AH58" s="87"/>
      <c r="AI58" s="90"/>
      <c r="AJ58" s="93"/>
      <c r="AK58" s="24"/>
    </row>
    <row r="59" spans="1:39" ht="12.75" hidden="1" customHeight="1" x14ac:dyDescent="0.2">
      <c r="A59" s="108"/>
      <c r="B59" s="108"/>
      <c r="C59" s="95"/>
      <c r="D59" s="95"/>
      <c r="E59" s="112"/>
      <c r="F59" s="590"/>
      <c r="G59" s="45"/>
      <c r="H59" s="45"/>
      <c r="I59" s="47"/>
      <c r="J59" s="53"/>
      <c r="K59" s="115"/>
      <c r="L59" s="115"/>
      <c r="M59" s="116"/>
      <c r="N59" s="114"/>
      <c r="O59" s="110"/>
      <c r="P59" s="110"/>
      <c r="Q59" s="110"/>
      <c r="R59" s="110"/>
      <c r="S59" s="110"/>
      <c r="T59" s="110"/>
      <c r="U59" s="110"/>
      <c r="V59" s="110"/>
      <c r="W59" s="110"/>
      <c r="X59" s="110"/>
      <c r="Y59" s="110"/>
      <c r="Z59" s="110"/>
      <c r="AA59" s="116"/>
      <c r="AB59" s="116"/>
      <c r="AC59" s="116"/>
      <c r="AD59" s="55"/>
      <c r="AE59" s="18"/>
      <c r="AF59" s="87"/>
      <c r="AG59" s="87"/>
      <c r="AH59" s="87"/>
      <c r="AI59" s="90"/>
      <c r="AJ59" s="93"/>
      <c r="AK59" s="24"/>
    </row>
    <row r="60" spans="1:39" ht="7.5" customHeight="1" x14ac:dyDescent="0.2">
      <c r="C60" s="95"/>
      <c r="D60" s="95"/>
      <c r="E60" s="112"/>
      <c r="F60" s="590"/>
      <c r="G60" s="317"/>
      <c r="H60" s="317"/>
      <c r="I60" s="318"/>
      <c r="J60" s="318"/>
      <c r="K60" s="115"/>
      <c r="L60" s="115"/>
      <c r="M60" s="116"/>
      <c r="N60" s="114"/>
      <c r="O60" s="110"/>
      <c r="P60" s="110"/>
      <c r="Q60" s="110"/>
      <c r="R60" s="110"/>
      <c r="S60" s="110"/>
      <c r="T60" s="110"/>
      <c r="U60" s="110"/>
      <c r="V60" s="110"/>
      <c r="W60" s="110"/>
      <c r="X60" s="110"/>
      <c r="Y60" s="110"/>
      <c r="Z60" s="110"/>
      <c r="AA60" s="116"/>
      <c r="AB60" s="116"/>
      <c r="AC60" s="116"/>
      <c r="AD60" s="55"/>
      <c r="AE60" s="18"/>
      <c r="AF60" s="87"/>
      <c r="AG60" s="87"/>
      <c r="AH60" s="87"/>
      <c r="AI60" s="90"/>
      <c r="AJ60" s="93"/>
      <c r="AK60" s="24"/>
    </row>
    <row r="61" spans="1:39" ht="12.75" customHeight="1" x14ac:dyDescent="0.2">
      <c r="C61" s="95"/>
      <c r="D61" s="95"/>
      <c r="E61" s="112"/>
      <c r="F61" s="590"/>
      <c r="G61" s="570" t="s">
        <v>211</v>
      </c>
      <c r="H61" s="570"/>
      <c r="I61" s="570"/>
      <c r="J61" s="471"/>
      <c r="K61" s="571" t="s">
        <v>234</v>
      </c>
      <c r="L61" s="571"/>
      <c r="M61" s="571"/>
      <c r="N61" s="570" t="s">
        <v>262</v>
      </c>
      <c r="O61" s="570"/>
      <c r="P61" s="570"/>
      <c r="Q61" s="603"/>
      <c r="R61" s="485"/>
      <c r="S61" s="571" t="s">
        <v>286</v>
      </c>
      <c r="T61" s="571"/>
      <c r="U61" s="571"/>
      <c r="V61" s="117"/>
      <c r="W61" s="560" t="s">
        <v>222</v>
      </c>
      <c r="X61" s="560"/>
      <c r="Y61" s="560"/>
      <c r="Z61" s="110"/>
      <c r="AA61" s="567">
        <f>VLOOKUP(Field_ProductoPuro&amp;Field_Moneda,Cat_Ratificacion,2,FALSE)</f>
        <v>3500</v>
      </c>
      <c r="AB61" s="567"/>
      <c r="AC61" s="567"/>
      <c r="AD61" s="55"/>
      <c r="AE61" s="18"/>
      <c r="AF61" s="87"/>
      <c r="AG61" s="87"/>
      <c r="AH61" s="87"/>
      <c r="AI61" s="90"/>
      <c r="AJ61" s="93"/>
      <c r="AK61" s="24"/>
    </row>
    <row r="62" spans="1:39" ht="12.75" customHeight="1" x14ac:dyDescent="0.2">
      <c r="C62" s="95"/>
      <c r="D62" s="95"/>
      <c r="E62" s="112"/>
      <c r="F62" s="590"/>
      <c r="G62" s="506"/>
      <c r="H62" s="506"/>
      <c r="I62" s="507"/>
      <c r="J62" s="53"/>
      <c r="K62" s="110"/>
      <c r="L62" s="110"/>
      <c r="M62" s="110"/>
      <c r="N62" s="114"/>
      <c r="O62" s="110"/>
      <c r="P62" s="110"/>
      <c r="Q62" s="110"/>
      <c r="R62" s="110"/>
      <c r="S62" s="110"/>
      <c r="T62" s="110"/>
      <c r="U62" s="110"/>
      <c r="V62" s="110"/>
      <c r="W62" s="110"/>
      <c r="X62" s="110"/>
      <c r="Y62" s="110"/>
      <c r="Z62" s="110"/>
      <c r="AA62" s="116"/>
      <c r="AB62" s="116"/>
      <c r="AC62" s="116"/>
      <c r="AD62" s="55"/>
      <c r="AE62" s="18"/>
      <c r="AF62" s="87"/>
      <c r="AG62" s="87"/>
      <c r="AH62" s="87"/>
      <c r="AI62" s="90"/>
      <c r="AJ62" s="93"/>
      <c r="AK62" s="24"/>
    </row>
    <row r="63" spans="1:39" ht="12.75" customHeight="1" x14ac:dyDescent="0.2">
      <c r="C63" s="95"/>
      <c r="D63" s="95"/>
      <c r="E63" s="112"/>
      <c r="F63" s="590"/>
      <c r="G63" s="400" t="s">
        <v>269</v>
      </c>
      <c r="H63" s="400"/>
      <c r="I63" s="401"/>
      <c r="J63" s="53"/>
      <c r="K63" s="505">
        <f>IF($S$61="Si",Field_Residual_1+  HLOOKUP(Field_Plazo1,Cat_PuntosAddRes,2,FALSE),0)</f>
        <v>0.38</v>
      </c>
      <c r="L63" s="505"/>
      <c r="M63" s="505"/>
      <c r="N63" s="113"/>
      <c r="O63" s="505">
        <f>IF($S$61="Si",Field_Residual_2+  HLOOKUP(Field_Plazo2,Cat_PuntosAddRes,2,FALSE),0)</f>
        <v>0.32999999999999996</v>
      </c>
      <c r="P63" s="505"/>
      <c r="Q63" s="505"/>
      <c r="R63" s="113"/>
      <c r="S63" s="505">
        <f>IF($S$61="Si",Field_Residual_3 +HLOOKUP(Field_Plazo3,Cat_PuntosAddRes,2,FALSE),0)</f>
        <v>0.28000000000000003</v>
      </c>
      <c r="T63" s="505"/>
      <c r="U63" s="505"/>
      <c r="V63" s="113"/>
      <c r="W63" s="505">
        <f>IF($S$61="Si",Field_Residual_4+ HLOOKUP(Field_Plazo4,Cat_PuntosAddRes,2,FALSE),0)</f>
        <v>0.23</v>
      </c>
      <c r="X63" s="505"/>
      <c r="Y63" s="505"/>
      <c r="Z63" s="113"/>
      <c r="AA63" s="505">
        <f>IF($S$61="Si",Field_Residual_5+ HLOOKUP(Field_Plazo5,Cat_PuntosAddRes,2,FALSE),0)</f>
        <v>0.18</v>
      </c>
      <c r="AB63" s="505"/>
      <c r="AC63" s="505"/>
      <c r="AD63" s="55"/>
      <c r="AE63" s="18"/>
      <c r="AF63" s="87"/>
      <c r="AG63" s="87"/>
      <c r="AH63" s="87"/>
      <c r="AI63" s="90"/>
      <c r="AJ63" s="93"/>
      <c r="AK63" s="24"/>
    </row>
    <row r="64" spans="1:39" ht="12.75" hidden="1" customHeight="1" x14ac:dyDescent="0.2">
      <c r="A64" s="108"/>
      <c r="B64" s="108"/>
      <c r="C64" s="95"/>
      <c r="D64" s="95"/>
      <c r="E64" s="112"/>
      <c r="F64" s="590"/>
      <c r="G64" s="400" t="s">
        <v>221</v>
      </c>
      <c r="H64" s="400"/>
      <c r="I64" s="401"/>
      <c r="J64" s="53"/>
      <c r="K64" s="563">
        <v>0</v>
      </c>
      <c r="L64" s="563"/>
      <c r="M64" s="563"/>
      <c r="N64" s="113"/>
      <c r="O64" s="563">
        <v>0</v>
      </c>
      <c r="P64" s="563"/>
      <c r="Q64" s="563"/>
      <c r="R64" s="113"/>
      <c r="S64" s="563">
        <v>0</v>
      </c>
      <c r="T64" s="563"/>
      <c r="U64" s="563"/>
      <c r="V64" s="113"/>
      <c r="W64" s="563">
        <v>0</v>
      </c>
      <c r="X64" s="563"/>
      <c r="Y64" s="563"/>
      <c r="Z64" s="113"/>
      <c r="AA64" s="563">
        <v>0</v>
      </c>
      <c r="AB64" s="563"/>
      <c r="AC64" s="563"/>
      <c r="AD64" s="40"/>
      <c r="AE64" s="18"/>
      <c r="AF64" s="87"/>
      <c r="AG64" s="87"/>
      <c r="AH64" s="87"/>
      <c r="AI64" s="90"/>
      <c r="AJ64" s="93"/>
    </row>
    <row r="65" spans="1:38" ht="12.75" customHeight="1" x14ac:dyDescent="0.2">
      <c r="C65" s="95"/>
      <c r="D65" s="95"/>
      <c r="E65" s="112"/>
      <c r="F65" s="590"/>
      <c r="G65" s="400" t="s">
        <v>220</v>
      </c>
      <c r="H65" s="400"/>
      <c r="I65" s="401"/>
      <c r="J65" s="53"/>
      <c r="K65" s="559">
        <v>1.4999999999999999E-2</v>
      </c>
      <c r="L65" s="559"/>
      <c r="M65" s="559"/>
      <c r="N65" s="110"/>
      <c r="O65" s="559">
        <v>1.4999999999999999E-2</v>
      </c>
      <c r="P65" s="559"/>
      <c r="Q65" s="559"/>
      <c r="R65" s="110"/>
      <c r="S65" s="559">
        <v>1.4999999999999999E-2</v>
      </c>
      <c r="T65" s="559"/>
      <c r="U65" s="559"/>
      <c r="V65" s="110"/>
      <c r="W65" s="559">
        <v>1.4999999999999999E-2</v>
      </c>
      <c r="X65" s="559"/>
      <c r="Y65" s="559"/>
      <c r="Z65" s="110"/>
      <c r="AA65" s="559">
        <v>1.4999999999999999E-2</v>
      </c>
      <c r="AB65" s="559"/>
      <c r="AC65" s="559"/>
      <c r="AD65" s="40"/>
      <c r="AE65" s="18"/>
      <c r="AF65" s="87"/>
      <c r="AG65" s="87"/>
      <c r="AH65" s="87"/>
      <c r="AI65" s="90"/>
      <c r="AJ65" s="93"/>
      <c r="AL65" s="8"/>
    </row>
    <row r="66" spans="1:38" ht="12.75" customHeight="1" x14ac:dyDescent="0.2">
      <c r="C66" s="95"/>
      <c r="D66" s="95"/>
      <c r="E66" s="112"/>
      <c r="F66" s="590"/>
      <c r="G66" s="102"/>
      <c r="H66" s="102"/>
      <c r="I66" s="103"/>
      <c r="J66" s="100"/>
      <c r="K66" s="118"/>
      <c r="L66" s="118"/>
      <c r="M66" s="118"/>
      <c r="N66" s="113"/>
      <c r="O66" s="119"/>
      <c r="P66" s="119"/>
      <c r="Q66" s="119"/>
      <c r="R66" s="113"/>
      <c r="S66" s="119"/>
      <c r="T66" s="119"/>
      <c r="U66" s="119"/>
      <c r="V66" s="113"/>
      <c r="W66" s="120"/>
      <c r="X66" s="120"/>
      <c r="Y66" s="120"/>
      <c r="Z66" s="113"/>
      <c r="AA66" s="120"/>
      <c r="AB66" s="120"/>
      <c r="AC66" s="120"/>
      <c r="AD66" s="55"/>
      <c r="AE66" s="18"/>
      <c r="AF66" s="87"/>
      <c r="AG66" s="87"/>
      <c r="AH66" s="87"/>
      <c r="AI66" s="90"/>
      <c r="AJ66" s="93"/>
      <c r="AL66" s="8"/>
    </row>
    <row r="67" spans="1:38" ht="12.75" customHeight="1" x14ac:dyDescent="0.2">
      <c r="C67" s="95"/>
      <c r="D67" s="95"/>
      <c r="E67" s="112"/>
      <c r="F67" s="590"/>
      <c r="G67" s="506" t="s">
        <v>55</v>
      </c>
      <c r="H67" s="506"/>
      <c r="I67" s="507"/>
      <c r="J67" s="53"/>
      <c r="K67" s="565">
        <f>IFERROR(PMT(Field_TasaNom_Puro_1/12,Field_Plazo1,-Field_MontoFinanciar_P1,IF(Field_FullPayOut="Si",0,Field_ResidualVal_1)),0)</f>
        <v>95239.368694506993</v>
      </c>
      <c r="L67" s="565"/>
      <c r="M67" s="565"/>
      <c r="N67" s="121"/>
      <c r="O67" s="565">
        <f>IFERROR(PMT(Field_TasaNom_Puro_2/12,Field_Plazo2,-Field_MontoFinanciar_P2,IF(Field_FullPayOut="Si",0,Field_ResidualVal_2)),0)</f>
        <v>73702.235714330018</v>
      </c>
      <c r="P67" s="565"/>
      <c r="Q67" s="565"/>
      <c r="R67" s="121"/>
      <c r="S67" s="565">
        <f>IFERROR(PMT(Field_TasaNom_Puro_3/12,Field_Plazo3,-Field_MontoFinanciar_P3,IF(Field_FullPayOut="Si",0,Field_ResidualVal_3)),0)</f>
        <v>82421.384557207071</v>
      </c>
      <c r="T67" s="565"/>
      <c r="U67" s="565"/>
      <c r="V67" s="121"/>
      <c r="W67" s="565">
        <f>IFERROR(PMT(Field_TasaNom_Puro_4/12,Field_Plazo4,-Field_MontoFinanciar_P4,IF(Field_FullPayOut="Si",0,Field_ResidualVal_4)),0)</f>
        <v>55977.94521814827</v>
      </c>
      <c r="X67" s="565"/>
      <c r="Y67" s="565"/>
      <c r="Z67" s="121"/>
      <c r="AA67" s="565">
        <f>IFERROR(PMT(Field_TasaNom_Puro_5/12,Field_Plazo5,-Field_MontoFinanciar_P5,IF(Field_FullPayOut="Si",0,Field_ResidualVal_5)),0)</f>
        <v>51370.238451216654</v>
      </c>
      <c r="AB67" s="565"/>
      <c r="AC67" s="565"/>
      <c r="AD67" s="57"/>
      <c r="AE67" s="18"/>
      <c r="AF67" s="87"/>
      <c r="AG67" s="87"/>
      <c r="AH67" s="87"/>
      <c r="AI67" s="90"/>
      <c r="AJ67" s="93"/>
      <c r="AL67" s="8"/>
    </row>
    <row r="68" spans="1:38" ht="12.75" customHeight="1" x14ac:dyDescent="0.2">
      <c r="C68" s="95"/>
      <c r="D68" s="95"/>
      <c r="E68" s="112"/>
      <c r="F68" s="590"/>
      <c r="G68" s="104"/>
      <c r="H68" s="104"/>
      <c r="I68" s="103"/>
      <c r="J68" s="53"/>
      <c r="K68" s="122"/>
      <c r="L68" s="122"/>
      <c r="M68" s="123"/>
      <c r="N68" s="113"/>
      <c r="O68" s="124"/>
      <c r="P68" s="124"/>
      <c r="Q68" s="125"/>
      <c r="R68" s="113"/>
      <c r="S68" s="124"/>
      <c r="T68" s="124"/>
      <c r="U68" s="125"/>
      <c r="V68" s="113"/>
      <c r="W68" s="124"/>
      <c r="X68" s="124"/>
      <c r="Y68" s="125"/>
      <c r="Z68" s="113"/>
      <c r="AA68" s="122" t="s">
        <v>72</v>
      </c>
      <c r="AB68" s="122"/>
      <c r="AC68" s="123"/>
      <c r="AD68" s="57"/>
      <c r="AE68" s="18"/>
      <c r="AF68" s="37"/>
      <c r="AG68" s="37"/>
      <c r="AH68" s="90"/>
      <c r="AI68" s="90"/>
      <c r="AJ68" s="49"/>
      <c r="AL68" s="8"/>
    </row>
    <row r="69" spans="1:38" ht="12.75" hidden="1" customHeight="1" x14ac:dyDescent="0.2">
      <c r="A69" s="108"/>
      <c r="B69" s="108"/>
      <c r="C69" s="95"/>
      <c r="D69" s="95"/>
      <c r="E69" s="112"/>
      <c r="F69" s="590"/>
      <c r="G69" s="506" t="s">
        <v>56</v>
      </c>
      <c r="H69" s="506"/>
      <c r="I69" s="507"/>
      <c r="J69" s="53"/>
      <c r="K69" s="561">
        <f>IFERROR(Field_Renta_P1/Field_MontoFinanciar_P1,0)</f>
        <v>3.475355774900786E-2</v>
      </c>
      <c r="L69" s="561"/>
      <c r="M69" s="561"/>
      <c r="N69" s="113"/>
      <c r="O69" s="561">
        <f>IFERROR(Field_Renta_P2/Field_MontoFinanciar_P2,0)</f>
        <v>2.6894496889674255E-2</v>
      </c>
      <c r="P69" s="561"/>
      <c r="Q69" s="561"/>
      <c r="R69" s="113"/>
      <c r="S69" s="561">
        <f>IFERROR(Field_Renta_P3/Field_MontoFinanciar_P3,0)</f>
        <v>3.0076179496213832E-2</v>
      </c>
      <c r="T69" s="561"/>
      <c r="U69" s="561"/>
      <c r="V69" s="113"/>
      <c r="W69" s="561">
        <f>IFERROR(Field_Renta_P4/Field_MontoFinanciar_P4,0)</f>
        <v>2.0426770761678922E-2</v>
      </c>
      <c r="X69" s="561"/>
      <c r="Y69" s="561"/>
      <c r="Z69" s="113"/>
      <c r="AA69" s="568">
        <f>IFERROR(Field_Renta_P5/Field_MontoFinanciar_P5,0)</f>
        <v>1.8745384110233299E-2</v>
      </c>
      <c r="AB69" s="568"/>
      <c r="AC69" s="568"/>
      <c r="AD69" s="37"/>
      <c r="AE69" s="18"/>
      <c r="AF69" s="37"/>
      <c r="AG69" s="37"/>
      <c r="AH69" s="90"/>
      <c r="AI69" s="90"/>
      <c r="AJ69" s="49" t="s">
        <v>87</v>
      </c>
      <c r="AL69" s="8"/>
    </row>
    <row r="70" spans="1:38" ht="12.75" hidden="1" customHeight="1" x14ac:dyDescent="0.2">
      <c r="A70" s="108"/>
      <c r="B70" s="108"/>
      <c r="C70" s="95"/>
      <c r="D70" s="95"/>
      <c r="E70" s="112"/>
      <c r="F70" s="590"/>
      <c r="G70" s="104"/>
      <c r="H70" s="104"/>
      <c r="I70" s="103"/>
      <c r="J70" s="53"/>
      <c r="K70" s="126"/>
      <c r="L70" s="126"/>
      <c r="M70" s="126"/>
      <c r="N70" s="113"/>
      <c r="O70" s="126"/>
      <c r="P70" s="126"/>
      <c r="Q70" s="126"/>
      <c r="R70" s="113"/>
      <c r="S70" s="126"/>
      <c r="T70" s="126"/>
      <c r="U70" s="126"/>
      <c r="V70" s="113"/>
      <c r="W70" s="126"/>
      <c r="X70" s="126"/>
      <c r="Y70" s="126"/>
      <c r="Z70" s="113"/>
      <c r="AA70" s="126"/>
      <c r="AB70" s="126"/>
      <c r="AC70" s="126"/>
      <c r="AD70" s="37"/>
      <c r="AE70" s="18"/>
      <c r="AF70" s="37"/>
      <c r="AG70" s="37"/>
      <c r="AH70" s="90"/>
      <c r="AI70" s="90"/>
      <c r="AJ70" s="49"/>
      <c r="AL70" s="8"/>
    </row>
    <row r="71" spans="1:38" ht="12.75" hidden="1" customHeight="1" x14ac:dyDescent="0.2">
      <c r="A71" s="108"/>
      <c r="B71" s="108"/>
      <c r="C71" s="95"/>
      <c r="D71" s="95"/>
      <c r="E71" s="112"/>
      <c r="F71" s="590"/>
      <c r="G71" s="400" t="s">
        <v>242</v>
      </c>
      <c r="H71" s="400"/>
      <c r="I71" s="401"/>
      <c r="J71" s="53"/>
      <c r="K71" s="555">
        <f>Field_TasaMin_Puro_1</f>
        <v>0.13100000000000001</v>
      </c>
      <c r="L71" s="556"/>
      <c r="M71" s="557"/>
      <c r="N71" s="127"/>
      <c r="O71" s="555">
        <f>Field_TasaMin_Puro_2</f>
        <v>0.13100000000000001</v>
      </c>
      <c r="P71" s="556"/>
      <c r="Q71" s="557"/>
      <c r="R71" s="127"/>
      <c r="S71" s="555">
        <f>Field_Residual_3</f>
        <v>0.25</v>
      </c>
      <c r="T71" s="556"/>
      <c r="U71" s="557"/>
      <c r="V71" s="127"/>
      <c r="W71" s="555">
        <f>Field_TasaMin_Puro_4</f>
        <v>0.13100000000000001</v>
      </c>
      <c r="X71" s="556"/>
      <c r="Y71" s="557"/>
      <c r="Z71" s="127"/>
      <c r="AA71" s="555">
        <f>Field_TasaMin_Puro_5</f>
        <v>0.13100000000000001</v>
      </c>
      <c r="AB71" s="556"/>
      <c r="AC71" s="557"/>
      <c r="AD71" s="37"/>
      <c r="AE71" s="18"/>
      <c r="AF71" s="37"/>
      <c r="AG71" s="37"/>
      <c r="AH71" s="90"/>
      <c r="AI71" s="90"/>
      <c r="AJ71" s="49"/>
      <c r="AL71" s="8"/>
    </row>
    <row r="72" spans="1:38" ht="12.75" hidden="1" customHeight="1" x14ac:dyDescent="0.2">
      <c r="A72" s="108"/>
      <c r="B72" s="108"/>
      <c r="C72" s="95"/>
      <c r="D72" s="95"/>
      <c r="E72" s="112"/>
      <c r="F72" s="590"/>
      <c r="G72" s="400" t="s">
        <v>213</v>
      </c>
      <c r="H72" s="400"/>
      <c r="I72" s="401"/>
      <c r="J72" s="53"/>
      <c r="K72" s="554">
        <f>IFERROR(COTIZACION!C37,0)</f>
        <v>0.16105985982764093</v>
      </c>
      <c r="L72" s="554"/>
      <c r="M72" s="554"/>
      <c r="N72" s="229"/>
      <c r="O72" s="554">
        <f>IFERROR(COTIZACION!D37,0)</f>
        <v>0.16288318412338221</v>
      </c>
      <c r="P72" s="554"/>
      <c r="Q72" s="554"/>
      <c r="R72" s="229"/>
      <c r="S72" s="554">
        <f>IFERROR(COTIZACION!E37,0)</f>
        <v>0.27470116367448849</v>
      </c>
      <c r="T72" s="554"/>
      <c r="U72" s="554"/>
      <c r="V72" s="229"/>
      <c r="W72" s="554">
        <f>IFERROR(COTIZACION!F37,0)</f>
        <v>0.15114534518821898</v>
      </c>
      <c r="X72" s="554"/>
      <c r="Y72" s="554"/>
      <c r="Z72" s="229"/>
      <c r="AA72" s="554">
        <f>IFERROR(COTIZACION!G37,0)</f>
        <v>0.14099360295742347</v>
      </c>
      <c r="AB72" s="554"/>
      <c r="AC72" s="554"/>
      <c r="AD72" s="37"/>
      <c r="AE72" s="18"/>
      <c r="AF72" s="37"/>
      <c r="AG72" s="37"/>
      <c r="AH72" s="90"/>
      <c r="AI72" s="90"/>
      <c r="AJ72" s="49"/>
      <c r="AL72" s="8"/>
    </row>
    <row r="73" spans="1:38" ht="12.75" hidden="1" customHeight="1" x14ac:dyDescent="0.2">
      <c r="A73" s="108"/>
      <c r="B73" s="108"/>
      <c r="C73" s="95"/>
      <c r="D73" s="95"/>
      <c r="E73" s="112"/>
      <c r="F73" s="590"/>
      <c r="G73" s="400" t="s">
        <v>272</v>
      </c>
      <c r="H73" s="400"/>
      <c r="I73" s="401"/>
      <c r="J73" s="53"/>
      <c r="K73" s="566">
        <f>VLOOKUP(Field_Plazo1,IF(Field_Moneda="pesos",cat_tirminplazomn,cat_tirminplazous),IF(Field_MontoFinanciar_P1&lt;= cat_montoTasa_1,3,IF(Field_MontoFinanciar_P1&lt;=cat_montoTasa_2,4,5)),FALSE)</f>
        <v>0.13100000000000001</v>
      </c>
      <c r="L73" s="566"/>
      <c r="M73" s="566"/>
      <c r="N73" s="229"/>
      <c r="O73" s="566">
        <f>VLOOKUP(Field_Plazo2,IF(Field_Moneda="pesos",cat_tirminplazomn,cat_tirminplazous),IF(Field_MontoFinanciar_P2&lt;= cat_montoTasa_1,3,IF(Field_MontoFinanciar_P2&lt;=cat_montoTasa_2,4,5)),FALSE)</f>
        <v>0.13100000000000001</v>
      </c>
      <c r="P73" s="566"/>
      <c r="Q73" s="566"/>
      <c r="R73" s="229"/>
      <c r="S73" s="566">
        <f>VLOOKUP(Field_Plazo3,IF(Field_Moneda="pesos",cat_tirminplazomn,cat_tirminplazous),IF(Field_MontoFinanciar_P3&lt;= cat_montoTasa_1,3,IF(Field_MontoFinanciar_P3&lt;=cat_montoTasa_2,4,5)),FALSE)</f>
        <v>0.13100000000000001</v>
      </c>
      <c r="T73" s="566"/>
      <c r="U73" s="566"/>
      <c r="V73" s="229"/>
      <c r="W73" s="566">
        <f>VLOOKUP(Field_Plazo4,IF(Field_Moneda="pesos",cat_tirminplazomn,cat_tirminplazous),IF(Field_MontoFinanciar_P4&lt;= cat_montoTasa_1,3,IF(Field_MontoFinanciar_P4&lt;=cat_montoTasa_2,4,5)),FALSE)</f>
        <v>0.13100000000000001</v>
      </c>
      <c r="X73" s="566"/>
      <c r="Y73" s="566"/>
      <c r="Z73" s="229"/>
      <c r="AA73" s="566">
        <f>VLOOKUP(Field_Plazo5,IF(Field_Moneda="pesos",cat_tirminplazomn,cat_tirminplazous),IF(Field_MontoFinanciar_P5&lt;= cat_montoTasa_1,3,IF(Field_MontoFinanciar_P5&lt;=cat_montoTasa_2,4,5)),FALSE)</f>
        <v>0.13100000000000001</v>
      </c>
      <c r="AB73" s="566"/>
      <c r="AC73" s="566"/>
      <c r="AD73" s="37"/>
      <c r="AE73" s="18"/>
      <c r="AF73" s="37"/>
      <c r="AG73" s="37"/>
      <c r="AH73" s="90"/>
      <c r="AI73" s="90"/>
      <c r="AJ73" s="49"/>
      <c r="AL73" s="8"/>
    </row>
    <row r="74" spans="1:38" ht="12.75" hidden="1" customHeight="1" x14ac:dyDescent="0.2">
      <c r="A74" s="108"/>
      <c r="B74" s="108"/>
      <c r="C74" s="95"/>
      <c r="D74" s="95"/>
      <c r="E74" s="112"/>
      <c r="F74" s="590"/>
      <c r="G74" s="400" t="s">
        <v>216</v>
      </c>
      <c r="H74" s="348"/>
      <c r="I74" s="349"/>
      <c r="J74" s="41"/>
      <c r="K74" s="554">
        <f>HLOOKUP(Field_Plazo1,Cat_ResPonderado,2,0)</f>
        <v>0.35</v>
      </c>
      <c r="L74" s="554"/>
      <c r="M74" s="554"/>
      <c r="N74" s="229"/>
      <c r="O74" s="554">
        <f>HLOOKUP(Field_Plazo2,Cat_ResPonderado,2,0)</f>
        <v>0.3</v>
      </c>
      <c r="P74" s="554"/>
      <c r="Q74" s="554"/>
      <c r="R74" s="229"/>
      <c r="S74" s="554">
        <f>HLOOKUP(Field_Plazo3,Cat_ResPonderado,2,0)</f>
        <v>0.25</v>
      </c>
      <c r="T74" s="554"/>
      <c r="U74" s="554"/>
      <c r="V74" s="229"/>
      <c r="W74" s="554">
        <f>HLOOKUP(Field_Plazo4,Cat_ResPonderado,2,0)</f>
        <v>0.2</v>
      </c>
      <c r="X74" s="554"/>
      <c r="Y74" s="554"/>
      <c r="Z74" s="229"/>
      <c r="AA74" s="554">
        <f>HLOOKUP(Field_Plazo5,Cat_ResPonderado,2,0)</f>
        <v>0.15</v>
      </c>
      <c r="AB74" s="554"/>
      <c r="AC74" s="554"/>
      <c r="AD74" s="37"/>
      <c r="AE74" s="18"/>
      <c r="AF74" s="37"/>
      <c r="AG74" s="37"/>
      <c r="AH74" s="90"/>
      <c r="AI74" s="90"/>
      <c r="AJ74" s="49"/>
      <c r="AL74" s="8"/>
    </row>
    <row r="75" spans="1:38" ht="12.75" hidden="1" customHeight="1" x14ac:dyDescent="0.2">
      <c r="A75" s="108"/>
      <c r="B75" s="108"/>
      <c r="C75" s="95"/>
      <c r="D75" s="95"/>
      <c r="E75" s="112"/>
      <c r="F75" s="590"/>
      <c r="G75" s="400" t="s">
        <v>274</v>
      </c>
      <c r="H75" s="348"/>
      <c r="I75" s="349"/>
      <c r="J75" s="41"/>
      <c r="K75" s="553">
        <f>Field_Residual_1*Field_EquipoMontoTotal</f>
        <v>959147.24137931038</v>
      </c>
      <c r="L75" s="553"/>
      <c r="M75" s="553"/>
      <c r="N75" s="446"/>
      <c r="O75" s="553">
        <f>Field_Residual_2*Field_EquipoMontoTotal</f>
        <v>822126.20689655177</v>
      </c>
      <c r="P75" s="553"/>
      <c r="Q75" s="553"/>
      <c r="R75" s="446"/>
      <c r="S75" s="553">
        <f>Field_Residual_3*Field_EquipoMontoTotal</f>
        <v>685105.17241379316</v>
      </c>
      <c r="T75" s="553"/>
      <c r="U75" s="553"/>
      <c r="V75" s="446"/>
      <c r="W75" s="553">
        <f>Field_Residual_4*Field_EquipoMontoTotal</f>
        <v>548084.13793103455</v>
      </c>
      <c r="X75" s="553"/>
      <c r="Y75" s="553"/>
      <c r="Z75" s="446"/>
      <c r="AA75" s="553">
        <f>Field_Residual_5*Field_EquipoMontoTotal</f>
        <v>411063.10344827588</v>
      </c>
      <c r="AB75" s="553"/>
      <c r="AC75" s="553"/>
      <c r="AD75" s="37"/>
      <c r="AE75" s="18"/>
      <c r="AF75" s="37"/>
      <c r="AG75" s="37"/>
      <c r="AH75" s="90"/>
      <c r="AI75" s="90"/>
      <c r="AJ75" s="49"/>
      <c r="AL75" s="8"/>
    </row>
    <row r="76" spans="1:38" ht="12.75" hidden="1" customHeight="1" x14ac:dyDescent="0.2">
      <c r="A76" s="108"/>
      <c r="B76" s="108"/>
      <c r="C76" s="95"/>
      <c r="D76" s="95"/>
      <c r="E76" s="112"/>
      <c r="F76" s="590"/>
      <c r="G76" s="400" t="s">
        <v>273</v>
      </c>
      <c r="H76" s="348"/>
      <c r="I76" s="349"/>
      <c r="J76" s="41"/>
      <c r="K76" s="553">
        <f>Field_ResidualCte_1*field_equipo_1</f>
        <v>1041359.8620689656</v>
      </c>
      <c r="L76" s="553"/>
      <c r="M76" s="553"/>
      <c r="N76" s="446"/>
      <c r="O76" s="553">
        <f>Field_ResidualCte_2*field_equipo_2</f>
        <v>904338.82758620684</v>
      </c>
      <c r="P76" s="553"/>
      <c r="Q76" s="553"/>
      <c r="R76" s="446"/>
      <c r="S76" s="553">
        <f>Field_ResidualCte_3*field_equipo_3</f>
        <v>767317.79310344846</v>
      </c>
      <c r="T76" s="553"/>
      <c r="U76" s="553"/>
      <c r="V76" s="446"/>
      <c r="W76" s="553">
        <f>Field_ResidualCte_4*field_equipo_4</f>
        <v>630296.75862068974</v>
      </c>
      <c r="X76" s="553"/>
      <c r="Y76" s="553"/>
      <c r="Z76" s="446"/>
      <c r="AA76" s="553">
        <f>Field_ResidualCte_5*field_equipo_5</f>
        <v>493275.72413793107</v>
      </c>
      <c r="AB76" s="553"/>
      <c r="AC76" s="553"/>
      <c r="AD76" s="37"/>
      <c r="AE76" s="18"/>
      <c r="AF76" s="37"/>
      <c r="AG76" s="37"/>
      <c r="AH76" s="90"/>
      <c r="AI76" s="90"/>
      <c r="AJ76" s="49"/>
      <c r="AL76" s="8"/>
    </row>
    <row r="77" spans="1:38" ht="12.75" customHeight="1" x14ac:dyDescent="0.2">
      <c r="C77" s="95"/>
      <c r="D77" s="95"/>
      <c r="E77" s="112"/>
      <c r="F77" s="590"/>
      <c r="G77" s="45"/>
      <c r="H77" s="45"/>
      <c r="I77" s="47"/>
      <c r="J77" s="53"/>
      <c r="K77" s="47"/>
      <c r="L77" s="349"/>
      <c r="M77" s="47"/>
      <c r="N77" s="47"/>
      <c r="O77" s="47"/>
      <c r="P77" s="349"/>
      <c r="Q77" s="47"/>
      <c r="R77" s="47"/>
      <c r="S77" s="47"/>
      <c r="T77" s="349"/>
      <c r="U77" s="47"/>
      <c r="V77" s="47"/>
      <c r="W77" s="47"/>
      <c r="X77" s="349"/>
      <c r="Y77" s="47"/>
      <c r="Z77" s="47"/>
      <c r="AA77" s="47"/>
      <c r="AB77" s="349"/>
      <c r="AC77" s="47"/>
      <c r="AD77" s="37"/>
      <c r="AE77" s="18"/>
      <c r="AF77" s="37"/>
      <c r="AG77" s="37"/>
      <c r="AH77" s="90"/>
      <c r="AI77" s="90"/>
      <c r="AJ77" s="93"/>
      <c r="AL77" s="8"/>
    </row>
    <row r="78" spans="1:38" ht="12.75" customHeight="1" x14ac:dyDescent="0.2">
      <c r="C78" s="99"/>
      <c r="D78" s="99"/>
      <c r="E78" s="88"/>
      <c r="F78" s="19"/>
      <c r="G78" s="19"/>
      <c r="H78" s="19"/>
      <c r="I78" s="19"/>
      <c r="J78" s="19"/>
      <c r="K78" s="3"/>
      <c r="L78" s="3"/>
      <c r="M78" s="3"/>
      <c r="N78" s="3"/>
      <c r="O78" s="3"/>
      <c r="P78" s="3"/>
      <c r="Q78" s="3"/>
      <c r="R78" s="3"/>
      <c r="S78" s="3"/>
      <c r="T78" s="3"/>
      <c r="U78" s="3"/>
      <c r="V78" s="3"/>
      <c r="W78" s="3"/>
      <c r="X78" s="3"/>
      <c r="Y78" s="3"/>
      <c r="Z78" s="3"/>
      <c r="AA78" s="3"/>
      <c r="AB78" s="3"/>
      <c r="AC78" s="3"/>
      <c r="AD78" s="18"/>
      <c r="AE78" s="18"/>
      <c r="AF78" s="37"/>
      <c r="AG78" s="37"/>
      <c r="AH78" s="90"/>
      <c r="AI78" s="90"/>
      <c r="AJ78" s="93"/>
      <c r="AL78" s="8"/>
    </row>
    <row r="79" spans="1:38" ht="12.75" customHeight="1" x14ac:dyDescent="0.25">
      <c r="C79" s="99"/>
      <c r="D79" s="99"/>
      <c r="E79" s="112"/>
      <c r="F79" s="590" t="s">
        <v>92</v>
      </c>
      <c r="G79" s="40"/>
      <c r="H79" s="40"/>
      <c r="I79" s="51"/>
      <c r="J79" s="51"/>
      <c r="K79" s="61"/>
      <c r="L79" s="61"/>
      <c r="M79" s="56"/>
      <c r="N79" s="56"/>
      <c r="O79" s="56"/>
      <c r="P79" s="56"/>
      <c r="Q79" s="56"/>
      <c r="R79" s="56"/>
      <c r="S79" s="56"/>
      <c r="T79" s="56"/>
      <c r="U79" s="56"/>
      <c r="V79" s="56"/>
      <c r="W79" s="56"/>
      <c r="X79" s="56"/>
      <c r="Y79" s="56"/>
      <c r="Z79" s="56"/>
      <c r="AA79" s="56"/>
      <c r="AB79" s="56"/>
      <c r="AC79" s="56"/>
      <c r="AD79" s="55"/>
      <c r="AE79" s="18"/>
      <c r="AF79" s="37"/>
      <c r="AG79" s="37"/>
      <c r="AH79" s="90"/>
      <c r="AI79" s="90"/>
      <c r="AJ79" s="93"/>
      <c r="AL79" s="8"/>
    </row>
    <row r="80" spans="1:38" ht="12.75" customHeight="1" x14ac:dyDescent="0.25">
      <c r="C80" s="99"/>
      <c r="D80" s="99"/>
      <c r="E80" s="112"/>
      <c r="F80" s="590"/>
      <c r="G80" s="40"/>
      <c r="H80" s="40"/>
      <c r="I80" s="51"/>
      <c r="J80" s="51"/>
      <c r="K80" s="61"/>
      <c r="L80" s="61"/>
      <c r="M80" s="445"/>
      <c r="N80" s="445"/>
      <c r="O80" s="445"/>
      <c r="P80" s="445"/>
      <c r="Q80" s="445"/>
      <c r="R80" s="445"/>
      <c r="S80" s="445"/>
      <c r="T80" s="445"/>
      <c r="U80" s="445"/>
      <c r="V80" s="56"/>
      <c r="W80" s="560" t="s">
        <v>222</v>
      </c>
      <c r="X80" s="560"/>
      <c r="Y80" s="560"/>
      <c r="Z80" s="56"/>
      <c r="AA80" s="564">
        <f>VLOOKUP(Field_ProductoFinanciero&amp;Field_Moneda,Cat_Ratificacion,2,FALSE)</f>
        <v>3500</v>
      </c>
      <c r="AB80" s="564"/>
      <c r="AC80" s="564"/>
      <c r="AD80" s="55"/>
      <c r="AE80" s="18"/>
      <c r="AF80" s="37"/>
      <c r="AG80" s="37"/>
      <c r="AH80" s="90"/>
      <c r="AI80" s="90"/>
      <c r="AJ80" s="93"/>
      <c r="AL80" s="8"/>
    </row>
    <row r="81" spans="1:40" ht="12.75" customHeight="1" x14ac:dyDescent="0.25">
      <c r="A81" s="319"/>
      <c r="B81" s="319"/>
      <c r="C81" s="99"/>
      <c r="D81" s="99"/>
      <c r="E81" s="112"/>
      <c r="F81" s="590"/>
      <c r="G81" s="40"/>
      <c r="H81" s="40"/>
      <c r="I81" s="51"/>
      <c r="J81" s="51"/>
      <c r="K81" s="61"/>
      <c r="L81" s="61"/>
      <c r="M81" s="56"/>
      <c r="N81" s="56"/>
      <c r="O81" s="56"/>
      <c r="P81" s="56"/>
      <c r="Q81" s="56"/>
      <c r="R81" s="56"/>
      <c r="S81" s="56"/>
      <c r="T81" s="56"/>
      <c r="U81" s="56"/>
      <c r="V81" s="56"/>
      <c r="W81" s="56"/>
      <c r="X81" s="56"/>
      <c r="Y81" s="56"/>
      <c r="Z81" s="56"/>
      <c r="AA81" s="56"/>
      <c r="AB81" s="56"/>
      <c r="AC81" s="56"/>
      <c r="AD81" s="55"/>
      <c r="AE81" s="18"/>
      <c r="AF81" s="37"/>
      <c r="AG81" s="37"/>
      <c r="AH81" s="90"/>
      <c r="AI81" s="90"/>
      <c r="AJ81" s="93"/>
      <c r="AL81" s="8"/>
    </row>
    <row r="82" spans="1:40" ht="12.75" customHeight="1" x14ac:dyDescent="0.2">
      <c r="A82" s="319"/>
      <c r="B82" s="319"/>
      <c r="C82" s="99"/>
      <c r="D82" s="99"/>
      <c r="E82" s="112"/>
      <c r="F82" s="590"/>
      <c r="G82" s="447" t="s">
        <v>39</v>
      </c>
      <c r="H82" s="447"/>
      <c r="I82" s="62"/>
      <c r="J82" s="62"/>
      <c r="K82" s="559">
        <v>0.1</v>
      </c>
      <c r="L82" s="559"/>
      <c r="M82" s="559"/>
      <c r="N82" s="113"/>
      <c r="O82" s="559">
        <v>0.1</v>
      </c>
      <c r="P82" s="559"/>
      <c r="Q82" s="559"/>
      <c r="R82" s="110"/>
      <c r="S82" s="559">
        <v>0.1</v>
      </c>
      <c r="T82" s="559"/>
      <c r="U82" s="559"/>
      <c r="V82" s="110"/>
      <c r="W82" s="559">
        <v>0.1</v>
      </c>
      <c r="X82" s="559"/>
      <c r="Y82" s="559"/>
      <c r="Z82" s="110"/>
      <c r="AA82" s="559">
        <v>0.1</v>
      </c>
      <c r="AB82" s="559"/>
      <c r="AC82" s="559"/>
      <c r="AD82" s="55"/>
      <c r="AE82" s="18"/>
      <c r="AF82" s="37"/>
      <c r="AG82" s="37"/>
      <c r="AH82" s="90"/>
      <c r="AI82" s="90"/>
      <c r="AJ82" s="93"/>
      <c r="AL82" s="8"/>
    </row>
    <row r="83" spans="1:40" ht="12.75" customHeight="1" x14ac:dyDescent="0.25">
      <c r="A83" s="319"/>
      <c r="B83" s="319"/>
      <c r="C83" s="99"/>
      <c r="D83" s="99"/>
      <c r="E83" s="112"/>
      <c r="F83" s="590"/>
      <c r="G83" s="550" t="s">
        <v>57</v>
      </c>
      <c r="H83" s="550"/>
      <c r="I83" s="550"/>
      <c r="J83" s="551"/>
      <c r="K83" s="501">
        <f>Field_EquipoMontoTotal*Field_Enganche_Porc_Fin_1</f>
        <v>274042.06896551728</v>
      </c>
      <c r="L83" s="501"/>
      <c r="M83" s="501"/>
      <c r="N83" s="113"/>
      <c r="O83" s="501">
        <f>Field_EquipoMontoTotal*Field_Enganche_Porc_Fin_2</f>
        <v>274042.06896551728</v>
      </c>
      <c r="P83" s="501"/>
      <c r="Q83" s="501"/>
      <c r="R83" s="56"/>
      <c r="S83" s="501">
        <f>Field_EquipoMontoTotal*Field_Enganche_Porc_Fin_3</f>
        <v>274042.06896551728</v>
      </c>
      <c r="T83" s="501"/>
      <c r="U83" s="501"/>
      <c r="V83" s="56"/>
      <c r="W83" s="501">
        <f>Field_EquipoMontoTotal*Field_Enganche_Porc_Fin_4</f>
        <v>274042.06896551728</v>
      </c>
      <c r="X83" s="501"/>
      <c r="Y83" s="501"/>
      <c r="Z83" s="56"/>
      <c r="AA83" s="501">
        <f>Field_EquipoMontoTotal*Field_Enganche_Porc_Fin_4</f>
        <v>274042.06896551728</v>
      </c>
      <c r="AB83" s="501"/>
      <c r="AC83" s="501"/>
      <c r="AD83" s="55"/>
      <c r="AE83" s="18"/>
      <c r="AF83" s="37"/>
      <c r="AG83" s="37"/>
      <c r="AH83" s="90"/>
      <c r="AI83" s="90"/>
      <c r="AJ83" s="93"/>
      <c r="AL83" s="8"/>
    </row>
    <row r="84" spans="1:40" ht="12.75" hidden="1" customHeight="1" x14ac:dyDescent="0.25">
      <c r="A84" s="108"/>
      <c r="B84" s="108"/>
      <c r="C84" s="99"/>
      <c r="D84" s="99"/>
      <c r="E84" s="112"/>
      <c r="F84" s="590"/>
      <c r="G84" s="447" t="s">
        <v>68</v>
      </c>
      <c r="H84" s="447"/>
      <c r="I84" s="447"/>
      <c r="J84" s="447"/>
      <c r="K84" s="502">
        <v>0</v>
      </c>
      <c r="L84" s="502"/>
      <c r="M84" s="502"/>
      <c r="N84" s="56"/>
      <c r="O84" s="502">
        <v>0</v>
      </c>
      <c r="P84" s="502"/>
      <c r="Q84" s="502"/>
      <c r="R84" s="56"/>
      <c r="S84" s="502">
        <v>0</v>
      </c>
      <c r="T84" s="502"/>
      <c r="U84" s="502"/>
      <c r="V84" s="56"/>
      <c r="W84" s="502">
        <v>0</v>
      </c>
      <c r="X84" s="502"/>
      <c r="Y84" s="502"/>
      <c r="Z84" s="56"/>
      <c r="AA84" s="502">
        <v>0</v>
      </c>
      <c r="AB84" s="502"/>
      <c r="AC84" s="502"/>
      <c r="AD84" s="55"/>
      <c r="AE84" s="18"/>
      <c r="AF84" s="37"/>
      <c r="AG84" s="37"/>
      <c r="AH84" s="90"/>
      <c r="AI84" s="90"/>
      <c r="AJ84" s="87"/>
      <c r="AK84" s="9"/>
      <c r="AL84" s="8"/>
    </row>
    <row r="85" spans="1:40" ht="12.75" hidden="1" customHeight="1" x14ac:dyDescent="0.25">
      <c r="A85" s="108"/>
      <c r="B85" s="108"/>
      <c r="C85" s="99"/>
      <c r="D85" s="99"/>
      <c r="E85" s="112"/>
      <c r="F85" s="590"/>
      <c r="G85" s="447" t="s">
        <v>69</v>
      </c>
      <c r="H85" s="447"/>
      <c r="I85" s="447"/>
      <c r="J85" s="447"/>
      <c r="K85" s="501">
        <f>Field_BlindDFin_1*Field_EquipoMontoTotal</f>
        <v>0</v>
      </c>
      <c r="L85" s="501"/>
      <c r="M85" s="501"/>
      <c r="N85" s="56"/>
      <c r="O85" s="501">
        <f>Field_BlindDFin_2*Field_EquipoMontoTotal</f>
        <v>0</v>
      </c>
      <c r="P85" s="501"/>
      <c r="Q85" s="501"/>
      <c r="R85" s="56"/>
      <c r="S85" s="501">
        <f>Field_BlindDFin_3*Field_EquipoMontoTotal</f>
        <v>0</v>
      </c>
      <c r="T85" s="501"/>
      <c r="U85" s="501"/>
      <c r="V85" s="56"/>
      <c r="W85" s="501">
        <f>Field_BlindDFin_4*Field_EquipoMontoTotal</f>
        <v>0</v>
      </c>
      <c r="X85" s="501"/>
      <c r="Y85" s="501"/>
      <c r="Z85" s="56"/>
      <c r="AA85" s="501">
        <f>Field_BlindDFin_5*Field_EquipoMontoTotal</f>
        <v>0</v>
      </c>
      <c r="AB85" s="501"/>
      <c r="AC85" s="501"/>
      <c r="AD85" s="55"/>
      <c r="AE85" s="18"/>
      <c r="AF85" s="37"/>
      <c r="AG85" s="37"/>
      <c r="AH85" s="90"/>
      <c r="AI85" s="90"/>
      <c r="AJ85" s="93"/>
      <c r="AK85" s="91"/>
      <c r="AL85" s="25"/>
      <c r="AM85" s="25"/>
      <c r="AN85" s="8"/>
    </row>
    <row r="86" spans="1:40" ht="12.75" customHeight="1" x14ac:dyDescent="0.25">
      <c r="A86" s="319"/>
      <c r="B86" s="319"/>
      <c r="C86" s="99"/>
      <c r="D86" s="99"/>
      <c r="E86" s="112"/>
      <c r="F86" s="590"/>
      <c r="G86" s="550" t="s">
        <v>58</v>
      </c>
      <c r="H86" s="550"/>
      <c r="I86" s="550"/>
      <c r="J86" s="551"/>
      <c r="K86" s="501">
        <f>Field_EquipoMontoTotal+Field_Seguro1- Field_Enganche_Monto_F1</f>
        <v>2466378.6206896552</v>
      </c>
      <c r="L86" s="501"/>
      <c r="M86" s="501"/>
      <c r="N86" s="56"/>
      <c r="O86" s="501">
        <f>Field_EquipoMontoTotal+Field_Seguro2- Field_Enganche_Monto_F2</f>
        <v>2466378.6206896552</v>
      </c>
      <c r="P86" s="501"/>
      <c r="Q86" s="501"/>
      <c r="R86" s="56"/>
      <c r="S86" s="501">
        <f>Field_EquipoMontoTotal+Field_Seguro3- Field_Enganche_Monto_F3</f>
        <v>2466378.6206896552</v>
      </c>
      <c r="T86" s="501"/>
      <c r="U86" s="501"/>
      <c r="V86" s="56"/>
      <c r="W86" s="501">
        <f>Field_EquipoMontoTotal+Field_Seguro4-Field_Enganche_Monto_F4</f>
        <v>2466378.6206896552</v>
      </c>
      <c r="X86" s="501"/>
      <c r="Y86" s="501"/>
      <c r="Z86" s="56"/>
      <c r="AA86" s="501">
        <f>Field_EquipoMontoTotal+Field_Seguro5- Field_Enganche_Monto_F5</f>
        <v>2466378.6206896552</v>
      </c>
      <c r="AB86" s="501"/>
      <c r="AC86" s="501"/>
      <c r="AD86" s="55"/>
      <c r="AE86" s="18"/>
      <c r="AF86" s="37"/>
      <c r="AG86" s="37"/>
      <c r="AH86" s="90"/>
      <c r="AI86" s="90"/>
      <c r="AJ86" s="93"/>
      <c r="AK86" s="91"/>
      <c r="AL86" s="8"/>
      <c r="AM86" s="8"/>
      <c r="AN86" s="8"/>
    </row>
    <row r="87" spans="1:40" ht="12.75" customHeight="1" x14ac:dyDescent="0.25">
      <c r="C87" s="99"/>
      <c r="D87" s="99"/>
      <c r="E87" s="112"/>
      <c r="F87" s="590"/>
      <c r="G87" s="550"/>
      <c r="H87" s="550"/>
      <c r="I87" s="552"/>
      <c r="J87" s="62"/>
      <c r="K87" s="320"/>
      <c r="L87" s="320"/>
      <c r="M87" s="321"/>
      <c r="N87" s="56"/>
      <c r="O87" s="56"/>
      <c r="P87" s="56"/>
      <c r="Q87" s="56"/>
      <c r="R87" s="56"/>
      <c r="S87" s="56"/>
      <c r="T87" s="56"/>
      <c r="U87" s="56"/>
      <c r="V87" s="56"/>
      <c r="W87" s="56"/>
      <c r="X87" s="56"/>
      <c r="Y87" s="56"/>
      <c r="Z87" s="56"/>
      <c r="AA87" s="56"/>
      <c r="AB87" s="56"/>
      <c r="AC87" s="56"/>
      <c r="AD87" s="55"/>
      <c r="AE87" s="18"/>
      <c r="AF87" s="37"/>
      <c r="AG87" s="37"/>
      <c r="AH87" s="90"/>
      <c r="AI87" s="90"/>
      <c r="AJ87" s="93"/>
      <c r="AK87" s="91"/>
      <c r="AL87" s="26"/>
      <c r="AM87" s="26"/>
      <c r="AN87" s="8"/>
    </row>
    <row r="88" spans="1:40" ht="12.75" customHeight="1" x14ac:dyDescent="0.2">
      <c r="C88" s="99"/>
      <c r="D88" s="99"/>
      <c r="E88" s="112"/>
      <c r="F88" s="590"/>
      <c r="G88" s="400" t="s">
        <v>73</v>
      </c>
      <c r="H88" s="400"/>
      <c r="I88" s="401"/>
      <c r="J88" s="349"/>
      <c r="K88" s="554">
        <v>0.125</v>
      </c>
      <c r="L88" s="554"/>
      <c r="M88" s="554"/>
      <c r="N88" s="229"/>
      <c r="O88" s="554">
        <v>0.1275</v>
      </c>
      <c r="P88" s="554"/>
      <c r="Q88" s="554"/>
      <c r="R88" s="229"/>
      <c r="S88" s="554">
        <v>0.13</v>
      </c>
      <c r="T88" s="554"/>
      <c r="U88" s="554"/>
      <c r="V88" s="229"/>
      <c r="W88" s="554">
        <v>0.13300000000000001</v>
      </c>
      <c r="X88" s="554"/>
      <c r="Y88" s="554"/>
      <c r="Z88" s="229"/>
      <c r="AA88" s="554">
        <v>0.13700000000000001</v>
      </c>
      <c r="AB88" s="554"/>
      <c r="AC88" s="554"/>
      <c r="AD88" s="40"/>
      <c r="AE88" s="18"/>
      <c r="AF88" s="37"/>
      <c r="AG88" s="37"/>
      <c r="AH88" s="90"/>
      <c r="AI88" s="90"/>
      <c r="AJ88" s="93"/>
      <c r="AK88" s="92"/>
      <c r="AL88" s="26"/>
      <c r="AM88" s="26"/>
      <c r="AN88" s="8"/>
    </row>
    <row r="89" spans="1:40" ht="12.75" hidden="1" customHeight="1" x14ac:dyDescent="0.2">
      <c r="A89" s="108"/>
      <c r="B89" s="108"/>
      <c r="C89" s="95"/>
      <c r="D89" s="95"/>
      <c r="E89" s="112"/>
      <c r="F89" s="590"/>
      <c r="G89" s="400" t="s">
        <v>221</v>
      </c>
      <c r="H89" s="400"/>
      <c r="I89" s="401"/>
      <c r="J89" s="349"/>
      <c r="K89" s="578">
        <v>0</v>
      </c>
      <c r="L89" s="578"/>
      <c r="M89" s="578"/>
      <c r="N89" s="130"/>
      <c r="O89" s="578">
        <v>0</v>
      </c>
      <c r="P89" s="578"/>
      <c r="Q89" s="578"/>
      <c r="R89" s="130"/>
      <c r="S89" s="578">
        <v>0</v>
      </c>
      <c r="T89" s="578"/>
      <c r="U89" s="578"/>
      <c r="V89" s="130"/>
      <c r="W89" s="578">
        <v>0</v>
      </c>
      <c r="X89" s="578"/>
      <c r="Y89" s="578"/>
      <c r="Z89" s="130"/>
      <c r="AA89" s="578">
        <v>0</v>
      </c>
      <c r="AB89" s="578"/>
      <c r="AC89" s="578"/>
      <c r="AD89" s="40"/>
      <c r="AE89" s="18"/>
      <c r="AF89" s="37"/>
      <c r="AG89" s="37"/>
      <c r="AH89" s="90"/>
      <c r="AI89" s="90"/>
      <c r="AJ89" s="93"/>
      <c r="AK89" s="92"/>
      <c r="AL89" s="8"/>
      <c r="AM89" s="8"/>
      <c r="AN89" s="8"/>
    </row>
    <row r="90" spans="1:40" ht="12.75" customHeight="1" x14ac:dyDescent="0.2">
      <c r="C90" s="84"/>
      <c r="D90" s="84"/>
      <c r="E90" s="112"/>
      <c r="F90" s="590"/>
      <c r="G90" s="400" t="s">
        <v>220</v>
      </c>
      <c r="H90" s="400"/>
      <c r="I90" s="401"/>
      <c r="J90" s="349"/>
      <c r="K90" s="559">
        <v>1.4999999999999999E-2</v>
      </c>
      <c r="L90" s="559"/>
      <c r="M90" s="559"/>
      <c r="N90" s="110"/>
      <c r="O90" s="559">
        <v>1.4999999999999999E-2</v>
      </c>
      <c r="P90" s="559"/>
      <c r="Q90" s="559"/>
      <c r="R90" s="110"/>
      <c r="S90" s="559">
        <v>1.4999999999999999E-2</v>
      </c>
      <c r="T90" s="559"/>
      <c r="U90" s="559"/>
      <c r="V90" s="110"/>
      <c r="W90" s="559">
        <v>1.4999999999999999E-2</v>
      </c>
      <c r="X90" s="559"/>
      <c r="Y90" s="559"/>
      <c r="Z90" s="110"/>
      <c r="AA90" s="584">
        <v>1.4999999999999999E-2</v>
      </c>
      <c r="AB90" s="584"/>
      <c r="AC90" s="584"/>
      <c r="AD90" s="40"/>
      <c r="AE90" s="18"/>
      <c r="AF90" s="37"/>
      <c r="AG90" s="37"/>
      <c r="AH90" s="90"/>
      <c r="AI90" s="90"/>
      <c r="AJ90" s="93"/>
      <c r="AK90" s="91"/>
      <c r="AL90" s="8"/>
      <c r="AM90" s="8"/>
      <c r="AN90" s="8"/>
    </row>
    <row r="91" spans="1:40" ht="12.75" customHeight="1" x14ac:dyDescent="0.2">
      <c r="C91" s="84"/>
      <c r="D91" s="84"/>
      <c r="E91" s="112"/>
      <c r="F91" s="590"/>
      <c r="G91" s="400" t="s">
        <v>29</v>
      </c>
      <c r="H91" s="400"/>
      <c r="I91" s="401"/>
      <c r="J91" s="349"/>
      <c r="K91" s="559">
        <v>0.01</v>
      </c>
      <c r="L91" s="559"/>
      <c r="M91" s="559"/>
      <c r="N91" s="110"/>
      <c r="O91" s="559">
        <v>0.01</v>
      </c>
      <c r="P91" s="559"/>
      <c r="Q91" s="559"/>
      <c r="R91" s="110"/>
      <c r="S91" s="559">
        <v>0.01</v>
      </c>
      <c r="T91" s="559"/>
      <c r="U91" s="559"/>
      <c r="V91" s="110"/>
      <c r="W91" s="559">
        <v>0.01</v>
      </c>
      <c r="X91" s="559"/>
      <c r="Y91" s="559"/>
      <c r="Z91" s="110"/>
      <c r="AA91" s="584">
        <v>0.01</v>
      </c>
      <c r="AB91" s="584"/>
      <c r="AC91" s="584"/>
      <c r="AD91" s="40"/>
      <c r="AE91" s="18"/>
      <c r="AF91" s="37"/>
      <c r="AG91" s="37"/>
      <c r="AH91" s="90"/>
      <c r="AI91" s="90"/>
      <c r="AJ91" s="93"/>
      <c r="AK91" s="91"/>
      <c r="AL91" s="8"/>
      <c r="AM91" s="8"/>
      <c r="AN91" s="8"/>
    </row>
    <row r="92" spans="1:40" ht="12.75" customHeight="1" x14ac:dyDescent="0.2">
      <c r="C92" s="84"/>
      <c r="D92" s="84"/>
      <c r="E92" s="112"/>
      <c r="F92" s="590"/>
      <c r="G92" s="506"/>
      <c r="H92" s="506"/>
      <c r="I92" s="507"/>
      <c r="J92" s="53"/>
      <c r="K92" s="322"/>
      <c r="L92" s="322"/>
      <c r="M92" s="322"/>
      <c r="N92" s="110"/>
      <c r="O92" s="128"/>
      <c r="P92" s="128"/>
      <c r="Q92" s="128"/>
      <c r="R92" s="110"/>
      <c r="S92" s="128"/>
      <c r="T92" s="128"/>
      <c r="U92" s="128"/>
      <c r="V92" s="110"/>
      <c r="W92" s="128"/>
      <c r="X92" s="128"/>
      <c r="Y92" s="128"/>
      <c r="Z92" s="110"/>
      <c r="AA92" s="128"/>
      <c r="AB92" s="128"/>
      <c r="AC92" s="128"/>
      <c r="AD92" s="55"/>
      <c r="AE92" s="18"/>
      <c r="AF92" s="37"/>
      <c r="AG92" s="37"/>
      <c r="AH92" s="90"/>
      <c r="AI92" s="90"/>
      <c r="AJ92" s="93"/>
      <c r="AK92" s="92"/>
    </row>
    <row r="93" spans="1:40" ht="12.75" customHeight="1" x14ac:dyDescent="0.2">
      <c r="C93" s="84"/>
      <c r="D93" s="84"/>
      <c r="E93" s="112"/>
      <c r="F93" s="590"/>
      <c r="G93" s="506" t="s">
        <v>70</v>
      </c>
      <c r="H93" s="506"/>
      <c r="I93" s="507" t="s">
        <v>2</v>
      </c>
      <c r="J93" s="53"/>
      <c r="K93" s="565">
        <f>IFERROR(PMT(Field_TasaNom_Fin_1/12,Field_Plazo1,-Field_MontoFinanciar_F1,0),0)</f>
        <v>116677.73363441166</v>
      </c>
      <c r="L93" s="565"/>
      <c r="M93" s="565"/>
      <c r="N93" s="110"/>
      <c r="O93" s="565">
        <f>IFERROR(PMT(Field_TasaNom_Fin_2/12,Field_Plazo2,-Field_MontoFinanciar_F2,0),0)</f>
        <v>82805.363571820868</v>
      </c>
      <c r="P93" s="565"/>
      <c r="Q93" s="565"/>
      <c r="R93" s="110"/>
      <c r="S93" s="565">
        <f>IFERROR(PMT(Field_TasaNom_Fin_3/12,Field_Plazo3,-Field_MontoFinanciar_F3,0),0)</f>
        <v>66166.762319021247</v>
      </c>
      <c r="T93" s="565"/>
      <c r="U93" s="565"/>
      <c r="V93" s="110"/>
      <c r="W93" s="565">
        <f>IFERROR(PMT(Field_TasaNom_Fin_4/12,Field_Plazo4,-Field_MontoFinanciar_F4,0),0)</f>
        <v>56497.188680643572</v>
      </c>
      <c r="X93" s="565"/>
      <c r="Y93" s="565"/>
      <c r="Z93" s="110"/>
      <c r="AA93" s="565">
        <f>IFERROR(PMT(Field_TasaNom_Fin_5/12,Field_Plazo5,-Field_MontoFinanciar_F5,0),0)</f>
        <v>50426.204075025176</v>
      </c>
      <c r="AB93" s="565"/>
      <c r="AC93" s="565"/>
      <c r="AD93" s="60"/>
      <c r="AE93" s="18"/>
      <c r="AF93" s="37"/>
      <c r="AG93" s="37"/>
      <c r="AH93" s="90"/>
      <c r="AI93" s="90"/>
      <c r="AJ93" s="93"/>
      <c r="AK93" s="92"/>
    </row>
    <row r="94" spans="1:40" ht="12.75" customHeight="1" x14ac:dyDescent="0.2">
      <c r="C94" s="84"/>
      <c r="D94" s="84"/>
      <c r="E94" s="112"/>
      <c r="F94" s="590"/>
      <c r="G94" s="105"/>
      <c r="H94" s="105"/>
      <c r="I94" s="106"/>
      <c r="J94" s="58"/>
      <c r="K94" s="579"/>
      <c r="L94" s="579"/>
      <c r="M94" s="579"/>
      <c r="N94" s="110"/>
      <c r="O94" s="579"/>
      <c r="P94" s="579"/>
      <c r="Q94" s="579"/>
      <c r="R94" s="110"/>
      <c r="S94" s="579"/>
      <c r="T94" s="579"/>
      <c r="U94" s="579"/>
      <c r="V94" s="110"/>
      <c r="W94" s="579"/>
      <c r="X94" s="579"/>
      <c r="Y94" s="579"/>
      <c r="Z94" s="110"/>
      <c r="AA94" s="579"/>
      <c r="AB94" s="579"/>
      <c r="AC94" s="579"/>
      <c r="AD94" s="60"/>
      <c r="AE94" s="18"/>
      <c r="AF94" s="37"/>
      <c r="AG94" s="37"/>
      <c r="AH94" s="90"/>
      <c r="AI94" s="90"/>
      <c r="AJ94" s="93"/>
      <c r="AK94" s="91"/>
    </row>
    <row r="95" spans="1:40" ht="12.75" hidden="1" customHeight="1" x14ac:dyDescent="0.2">
      <c r="A95" s="108"/>
      <c r="B95" s="108"/>
      <c r="C95" s="84"/>
      <c r="D95" s="84"/>
      <c r="E95" s="112"/>
      <c r="F95" s="590"/>
      <c r="G95" s="506" t="s">
        <v>213</v>
      </c>
      <c r="H95" s="506"/>
      <c r="I95" s="507" t="s">
        <v>215</v>
      </c>
      <c r="J95" s="58"/>
      <c r="K95" s="572">
        <f>IFERROR(COTIZACION!K37,0)</f>
        <v>0.14889389752019078</v>
      </c>
      <c r="L95" s="572"/>
      <c r="M95" s="572"/>
      <c r="N95" s="129"/>
      <c r="O95" s="572">
        <f>IFERROR(COTIZACION!L37,0)</f>
        <v>0.14328878029625081</v>
      </c>
      <c r="P95" s="572"/>
      <c r="Q95" s="572"/>
      <c r="R95" s="129"/>
      <c r="S95" s="572">
        <f>IFERROR(COTIZACION!M37,0)</f>
        <v>0.1417043177333559</v>
      </c>
      <c r="T95" s="572"/>
      <c r="U95" s="572"/>
      <c r="V95" s="129"/>
      <c r="W95" s="572">
        <f>IFERROR(COTIZACION!N37,0)</f>
        <v>0.14226501159339566</v>
      </c>
      <c r="X95" s="572"/>
      <c r="Y95" s="572"/>
      <c r="Z95" s="129"/>
      <c r="AA95" s="572">
        <f>IFERROR(COTIZACION!O37,0)</f>
        <v>0.14465960517742982</v>
      </c>
      <c r="AB95" s="572"/>
      <c r="AC95" s="572"/>
      <c r="AD95" s="60"/>
      <c r="AE95" s="18"/>
      <c r="AF95" s="37"/>
      <c r="AG95" s="37"/>
      <c r="AH95" s="90"/>
      <c r="AI95" s="90"/>
      <c r="AJ95" s="93"/>
      <c r="AK95" s="91"/>
    </row>
    <row r="96" spans="1:40" ht="12.75" hidden="1" customHeight="1" x14ac:dyDescent="0.2">
      <c r="A96" s="108"/>
      <c r="B96" s="108"/>
      <c r="C96" s="84"/>
      <c r="D96" s="84"/>
      <c r="E96" s="112"/>
      <c r="F96" s="590"/>
      <c r="G96" s="506" t="s">
        <v>275</v>
      </c>
      <c r="H96" s="506"/>
      <c r="I96" s="507" t="s">
        <v>215</v>
      </c>
      <c r="J96" s="58"/>
      <c r="K96" s="573">
        <f>VLOOKUP(Field_Plazo1,IF(Field_Moneda="pesos",cat_tirminplazomn,cat_tirminplazous),IF(Field_MontoFinanciar_F1&lt;= cat_montoTasa_1,3,IF(Field_MontoFinanciar_F1&lt;=cat_montoTasa_2,4,5)),FALSE)</f>
        <v>0.13100000000000001</v>
      </c>
      <c r="L96" s="573"/>
      <c r="M96" s="573"/>
      <c r="N96" s="129"/>
      <c r="O96" s="573">
        <f>VLOOKUP(Field_Plazo2,IF(Field_Moneda="pesos",cat_tirminplazomn,cat_tirminplazous),IF(Field_MontoFinanciar_F2&lt;= cat_montoTasa_1,3,IF(Field_MontoFinanciar_F2&lt;=cat_montoTasa_2,4,5)),FALSE)</f>
        <v>0.13100000000000001</v>
      </c>
      <c r="P96" s="573"/>
      <c r="Q96" s="573"/>
      <c r="R96" s="129"/>
      <c r="S96" s="573">
        <f>VLOOKUP(Field_Plazo3,IF(Field_Moneda="pesos",cat_tirminplazomn,cat_tirminplazous),IF(Field_MontoFinanciar_F3&lt;= cat_montoTasa_1,3,IF(Field_MontoFinanciar_F3&lt;=cat_montoTasa_2,4,5)),FALSE)</f>
        <v>0.13100000000000001</v>
      </c>
      <c r="T96" s="573"/>
      <c r="U96" s="573"/>
      <c r="V96" s="129"/>
      <c r="W96" s="573">
        <f>VLOOKUP(Field_Plazo4,IF(Field_Moneda="pesos",cat_tirminplazomn,cat_tirminplazous),IF(Field_MontoFinanciar_F4&lt;= cat_montoTasa_1,3,IF(Field_MontoFinanciar_F4&lt;=cat_montoTasa_2,4,5)),FALSE)</f>
        <v>0.13100000000000001</v>
      </c>
      <c r="X96" s="573"/>
      <c r="Y96" s="573"/>
      <c r="Z96" s="129"/>
      <c r="AA96" s="573">
        <f>VLOOKUP(Field_Plazo5,IF(Field_Moneda="pesos",cat_tirminplazomn,cat_tirminplazous),IF(Field_MontoFinanciar_F5&lt;= cat_montoTasa_1,3,IF(Field_MontoFinanciar_F5&lt;=cat_montoTasa_2,4,5)),FALSE)</f>
        <v>0.13100000000000001</v>
      </c>
      <c r="AB96" s="573"/>
      <c r="AC96" s="573"/>
      <c r="AD96" s="60"/>
      <c r="AE96" s="18"/>
      <c r="AF96" s="37"/>
      <c r="AG96" s="37"/>
      <c r="AH96" s="90"/>
      <c r="AI96" s="90"/>
      <c r="AJ96" s="93"/>
      <c r="AK96" s="91"/>
    </row>
    <row r="97" spans="1:37" ht="12.75" customHeight="1" x14ac:dyDescent="0.25">
      <c r="C97" s="84"/>
      <c r="D97" s="84"/>
      <c r="E97" s="112"/>
      <c r="F97" s="590"/>
      <c r="G97" s="105"/>
      <c r="H97" s="105"/>
      <c r="I97" s="106"/>
      <c r="J97" s="58"/>
      <c r="K97" s="59"/>
      <c r="L97" s="59"/>
      <c r="M97" s="59"/>
      <c r="N97" s="56"/>
      <c r="O97" s="59"/>
      <c r="P97" s="59"/>
      <c r="Q97" s="59"/>
      <c r="R97" s="56"/>
      <c r="S97" s="59"/>
      <c r="T97" s="59"/>
      <c r="U97" s="59"/>
      <c r="V97" s="56"/>
      <c r="W97" s="59"/>
      <c r="X97" s="59"/>
      <c r="Y97" s="59"/>
      <c r="Z97" s="56"/>
      <c r="AA97" s="59"/>
      <c r="AB97" s="59"/>
      <c r="AC97" s="59"/>
      <c r="AD97" s="60"/>
      <c r="AE97" s="18"/>
      <c r="AF97" s="37"/>
      <c r="AG97" s="37"/>
      <c r="AH97" s="90"/>
      <c r="AI97" s="90"/>
      <c r="AJ97" s="93"/>
      <c r="AK97" s="91"/>
    </row>
    <row r="98" spans="1:37" ht="12.75" customHeight="1" x14ac:dyDescent="0.2">
      <c r="C98" s="84"/>
      <c r="D98" s="84"/>
      <c r="E98" s="112"/>
      <c r="F98" s="590"/>
      <c r="G98" s="40"/>
      <c r="H98" s="40"/>
      <c r="I98" s="58"/>
      <c r="J98" s="58"/>
      <c r="K98" s="59"/>
      <c r="L98" s="59"/>
      <c r="M98" s="59"/>
      <c r="N98" s="59"/>
      <c r="O98" s="59"/>
      <c r="P98" s="59"/>
      <c r="Q98" s="59"/>
      <c r="R98" s="59"/>
      <c r="S98" s="59"/>
      <c r="T98" s="59"/>
      <c r="U98" s="59"/>
      <c r="V98" s="59"/>
      <c r="W98" s="59"/>
      <c r="X98" s="59"/>
      <c r="Y98" s="59"/>
      <c r="Z98" s="59"/>
      <c r="AA98" s="59"/>
      <c r="AB98" s="59"/>
      <c r="AC98" s="59"/>
      <c r="AD98" s="60"/>
      <c r="AE98" s="18"/>
      <c r="AF98" s="37"/>
      <c r="AG98" s="37"/>
      <c r="AH98" s="90"/>
      <c r="AI98" s="90"/>
      <c r="AJ98" s="93"/>
      <c r="AK98" s="91"/>
    </row>
    <row r="99" spans="1:37" ht="12.75" customHeight="1" x14ac:dyDescent="0.2">
      <c r="C99" s="84"/>
      <c r="D99" s="84"/>
      <c r="E99" s="88"/>
      <c r="F99" s="18"/>
      <c r="G99" s="18"/>
      <c r="H99" s="18"/>
      <c r="I99" s="18"/>
      <c r="J99" s="27"/>
      <c r="K99" s="7"/>
      <c r="L99" s="7"/>
      <c r="M99" s="7"/>
      <c r="N99" s="7"/>
      <c r="O99" s="7"/>
      <c r="P99" s="7"/>
      <c r="Q99" s="7"/>
      <c r="R99" s="7"/>
      <c r="S99" s="7"/>
      <c r="T99" s="7"/>
      <c r="U99" s="7"/>
      <c r="V99" s="7"/>
      <c r="W99" s="7"/>
      <c r="X99" s="7"/>
      <c r="Y99" s="7"/>
      <c r="Z99" s="7"/>
      <c r="AA99" s="7"/>
      <c r="AB99" s="7"/>
      <c r="AC99" s="7"/>
      <c r="AD99" s="22"/>
      <c r="AE99" s="18"/>
      <c r="AF99" s="37"/>
      <c r="AG99" s="37"/>
      <c r="AH99" s="90"/>
      <c r="AI99" s="90"/>
      <c r="AJ99" s="93"/>
      <c r="AK99" s="92"/>
    </row>
    <row r="100" spans="1:37" ht="12.75" customHeight="1" x14ac:dyDescent="0.2">
      <c r="C100" s="84"/>
      <c r="D100" s="84"/>
      <c r="E100" s="88"/>
      <c r="F100" s="590" t="s">
        <v>217</v>
      </c>
      <c r="G100" s="40"/>
      <c r="H100" s="40"/>
      <c r="I100" s="51"/>
      <c r="J100" s="51"/>
      <c r="K100" s="109"/>
      <c r="L100" s="109"/>
      <c r="M100" s="110"/>
      <c r="N100" s="110"/>
      <c r="O100" s="110"/>
      <c r="P100" s="110"/>
      <c r="Q100" s="110"/>
      <c r="R100" s="110"/>
      <c r="S100" s="110"/>
      <c r="T100" s="110"/>
      <c r="U100" s="110"/>
      <c r="V100" s="110"/>
      <c r="W100" s="110"/>
      <c r="X100" s="110"/>
      <c r="Y100" s="110"/>
      <c r="Z100" s="110"/>
      <c r="AA100" s="110"/>
      <c r="AB100" s="110"/>
      <c r="AC100" s="110"/>
      <c r="AD100" s="110"/>
      <c r="AE100" s="18"/>
      <c r="AF100" s="37"/>
      <c r="AG100" s="37"/>
      <c r="AH100" s="90"/>
      <c r="AI100" s="37"/>
      <c r="AJ100" s="37"/>
      <c r="AK100" s="24"/>
    </row>
    <row r="101" spans="1:37" ht="12.75" customHeight="1" x14ac:dyDescent="0.2">
      <c r="C101" s="84"/>
      <c r="D101" s="84"/>
      <c r="E101" s="88"/>
      <c r="F101" s="590"/>
      <c r="G101" s="40"/>
      <c r="H101" s="40"/>
      <c r="I101" s="51"/>
      <c r="J101" s="51"/>
      <c r="K101" s="109"/>
      <c r="L101" s="109"/>
      <c r="M101" s="110"/>
      <c r="N101" s="110"/>
      <c r="O101" s="110"/>
      <c r="P101" s="110"/>
      <c r="Q101" s="110"/>
      <c r="R101" s="110"/>
      <c r="S101" s="110"/>
      <c r="T101" s="110"/>
      <c r="U101" s="110"/>
      <c r="V101" s="110"/>
      <c r="W101" s="560" t="s">
        <v>222</v>
      </c>
      <c r="X101" s="560"/>
      <c r="Y101" s="560"/>
      <c r="Z101" s="110"/>
      <c r="AA101" s="567">
        <f>VLOOKUP(Field_ProductoFinanciero&amp;Field_Moneda,Cat_Ratificacion,2,FALSE)</f>
        <v>3500</v>
      </c>
      <c r="AB101" s="567"/>
      <c r="AC101" s="567"/>
      <c r="AD101" s="110"/>
      <c r="AE101" s="18"/>
      <c r="AF101" s="37"/>
      <c r="AG101" s="37"/>
      <c r="AH101" s="90"/>
      <c r="AI101" s="37"/>
      <c r="AJ101" s="37"/>
      <c r="AK101" s="24"/>
    </row>
    <row r="102" spans="1:37" ht="12.75" customHeight="1" x14ac:dyDescent="0.2">
      <c r="C102" s="84"/>
      <c r="D102" s="84"/>
      <c r="E102" s="88"/>
      <c r="F102" s="590"/>
      <c r="G102" s="40"/>
      <c r="H102" s="40"/>
      <c r="I102" s="51"/>
      <c r="J102" s="51"/>
      <c r="K102" s="109"/>
      <c r="L102" s="109"/>
      <c r="M102" s="110"/>
      <c r="N102" s="110"/>
      <c r="O102" s="110"/>
      <c r="P102" s="110"/>
      <c r="Q102" s="110"/>
      <c r="R102" s="110"/>
      <c r="S102" s="110"/>
      <c r="T102" s="110"/>
      <c r="U102" s="110"/>
      <c r="V102" s="110"/>
      <c r="W102" s="110"/>
      <c r="X102" s="110"/>
      <c r="Y102" s="110"/>
      <c r="Z102" s="110"/>
      <c r="AA102" s="110"/>
      <c r="AB102" s="110"/>
      <c r="AC102" s="110"/>
      <c r="AD102" s="110"/>
      <c r="AE102" s="18"/>
      <c r="AF102" s="37"/>
      <c r="AG102" s="37"/>
      <c r="AH102" s="90"/>
      <c r="AI102" s="37"/>
      <c r="AJ102" s="37"/>
      <c r="AK102" s="24"/>
    </row>
    <row r="103" spans="1:37" ht="12.75" customHeight="1" x14ac:dyDescent="0.2">
      <c r="C103" s="84"/>
      <c r="D103" s="84"/>
      <c r="E103" s="88"/>
      <c r="F103" s="590"/>
      <c r="G103" s="503" t="s">
        <v>39</v>
      </c>
      <c r="H103" s="503"/>
      <c r="I103" s="503"/>
      <c r="J103" s="51"/>
      <c r="K103" s="559">
        <v>0.1</v>
      </c>
      <c r="L103" s="559"/>
      <c r="M103" s="559"/>
      <c r="N103" s="113"/>
      <c r="O103" s="559">
        <v>0.1</v>
      </c>
      <c r="P103" s="559"/>
      <c r="Q103" s="559"/>
      <c r="R103" s="110"/>
      <c r="S103" s="559">
        <v>0.1</v>
      </c>
      <c r="T103" s="559"/>
      <c r="U103" s="559"/>
      <c r="V103" s="110"/>
      <c r="W103" s="559">
        <v>0.1</v>
      </c>
      <c r="X103" s="559"/>
      <c r="Y103" s="559"/>
      <c r="Z103" s="110"/>
      <c r="AA103" s="559">
        <v>0.1</v>
      </c>
      <c r="AB103" s="559"/>
      <c r="AC103" s="559"/>
      <c r="AD103" s="110"/>
      <c r="AE103" s="18"/>
      <c r="AF103" s="37"/>
      <c r="AG103" s="37"/>
      <c r="AH103" s="90"/>
      <c r="AI103" s="37"/>
      <c r="AJ103" s="37"/>
      <c r="AK103" s="24"/>
    </row>
    <row r="104" spans="1:37" ht="12.75" customHeight="1" x14ac:dyDescent="0.25">
      <c r="C104" s="84"/>
      <c r="D104" s="84"/>
      <c r="E104" s="88"/>
      <c r="F104" s="590"/>
      <c r="G104" s="503" t="s">
        <v>57</v>
      </c>
      <c r="H104" s="503"/>
      <c r="I104" s="504"/>
      <c r="J104" s="51"/>
      <c r="K104" s="501">
        <f>Field_EquipoMontoTotal_masIVA*Field_Enganche_Simple_1</f>
        <v>317888.80000000005</v>
      </c>
      <c r="L104" s="501"/>
      <c r="M104" s="501"/>
      <c r="N104" s="113"/>
      <c r="O104" s="501">
        <f>Field_EquipoMontoTotal_masIVA * Field_Enganche_Simple_2</f>
        <v>317888.80000000005</v>
      </c>
      <c r="P104" s="501"/>
      <c r="Q104" s="501"/>
      <c r="R104" s="56"/>
      <c r="S104" s="501">
        <f>Field_EquipoMontoTotal_masIVA*Field_Enganche_Simple_3</f>
        <v>317888.80000000005</v>
      </c>
      <c r="T104" s="501"/>
      <c r="U104" s="501"/>
      <c r="V104" s="56"/>
      <c r="W104" s="501">
        <f>Field_EquipoMontoTotal_masIVA* Field_Enganche_Simple_4</f>
        <v>317888.80000000005</v>
      </c>
      <c r="X104" s="501"/>
      <c r="Y104" s="501"/>
      <c r="Z104" s="56"/>
      <c r="AA104" s="501">
        <f>Field_EquipoMontoTotal_masIVA* Field_Enganche_Simple_5</f>
        <v>317888.80000000005</v>
      </c>
      <c r="AB104" s="501"/>
      <c r="AC104" s="501"/>
      <c r="AD104" s="110"/>
      <c r="AE104" s="18"/>
      <c r="AF104" s="37"/>
      <c r="AG104" s="37"/>
      <c r="AH104" s="90"/>
      <c r="AI104" s="37"/>
      <c r="AJ104" s="37"/>
      <c r="AK104" s="24"/>
    </row>
    <row r="105" spans="1:37" ht="12.75" customHeight="1" x14ac:dyDescent="0.2">
      <c r="C105" s="84"/>
      <c r="D105" s="84"/>
      <c r="E105" s="88"/>
      <c r="F105" s="590"/>
      <c r="G105" s="348" t="s">
        <v>58</v>
      </c>
      <c r="H105" s="348"/>
      <c r="I105" s="349"/>
      <c r="J105" s="349"/>
      <c r="K105" s="501">
        <f>Field_EquipoMontoTotal_masIVA+Field_Seguro1-Field_Enganche_Monto_S1</f>
        <v>2860999.2</v>
      </c>
      <c r="L105" s="501"/>
      <c r="M105" s="501"/>
      <c r="N105" s="114"/>
      <c r="O105" s="501">
        <f>Field_EquipoMontoTotal_masIVA+Field_Seguro2- Field_Enganche_Monto_S2</f>
        <v>2860999.2</v>
      </c>
      <c r="P105" s="501"/>
      <c r="Q105" s="501"/>
      <c r="R105" s="110"/>
      <c r="S105" s="501">
        <f>Field_EquipoMontoTotal_masIVA+Field_Seguro3- Field_Enganche_Monto_S3</f>
        <v>2860999.2</v>
      </c>
      <c r="T105" s="501"/>
      <c r="U105" s="501"/>
      <c r="V105" s="110"/>
      <c r="W105" s="501">
        <f>Field_EquipoMontoTotal_masIVA+Field_Seguro4-Field_Enganche_Monto_S4</f>
        <v>2860999.2</v>
      </c>
      <c r="X105" s="501"/>
      <c r="Y105" s="501"/>
      <c r="Z105" s="110"/>
      <c r="AA105" s="501">
        <f>Field_EquipoMontoTotal_masIVA+Field_Seguro5-Field_Enganche_Monto_S5</f>
        <v>2860999.2</v>
      </c>
      <c r="AB105" s="501"/>
      <c r="AC105" s="501"/>
      <c r="AD105" s="110"/>
      <c r="AE105" s="18"/>
      <c r="AF105" s="37"/>
      <c r="AG105" s="37"/>
      <c r="AH105" s="90"/>
      <c r="AI105" s="37"/>
      <c r="AJ105" s="37"/>
      <c r="AK105" s="24"/>
    </row>
    <row r="106" spans="1:37" ht="12.75" customHeight="1" x14ac:dyDescent="0.2">
      <c r="C106" s="84"/>
      <c r="D106" s="84"/>
      <c r="E106" s="88"/>
      <c r="F106" s="590"/>
      <c r="G106" s="503"/>
      <c r="H106" s="503"/>
      <c r="I106" s="504"/>
      <c r="J106" s="51"/>
      <c r="K106" s="109"/>
      <c r="L106" s="109"/>
      <c r="M106" s="110"/>
      <c r="N106" s="110"/>
      <c r="O106" s="110"/>
      <c r="P106" s="110"/>
      <c r="Q106" s="110"/>
      <c r="R106" s="110"/>
      <c r="S106" s="110"/>
      <c r="T106" s="110"/>
      <c r="U106" s="110"/>
      <c r="V106" s="110"/>
      <c r="W106" s="110"/>
      <c r="X106" s="110"/>
      <c r="Y106" s="110"/>
      <c r="Z106" s="110"/>
      <c r="AA106" s="110"/>
      <c r="AB106" s="110"/>
      <c r="AC106" s="110"/>
      <c r="AD106" s="110"/>
      <c r="AE106" s="18"/>
      <c r="AF106" s="37"/>
      <c r="AG106" s="37"/>
      <c r="AH106" s="90"/>
      <c r="AI106" s="87"/>
      <c r="AJ106" s="87"/>
    </row>
    <row r="107" spans="1:37" ht="12.75" customHeight="1" x14ac:dyDescent="0.2">
      <c r="C107" s="84"/>
      <c r="D107" s="84"/>
      <c r="E107" s="88"/>
      <c r="F107" s="590"/>
      <c r="G107" s="448" t="s">
        <v>74</v>
      </c>
      <c r="H107" s="448"/>
      <c r="I107" s="448"/>
      <c r="J107" s="449"/>
      <c r="K107" s="554">
        <v>0.125</v>
      </c>
      <c r="L107" s="554"/>
      <c r="M107" s="554"/>
      <c r="N107" s="229"/>
      <c r="O107" s="554">
        <v>0.1275</v>
      </c>
      <c r="P107" s="554"/>
      <c r="Q107" s="554"/>
      <c r="R107" s="229"/>
      <c r="S107" s="554">
        <v>0.13</v>
      </c>
      <c r="T107" s="554"/>
      <c r="U107" s="554"/>
      <c r="V107" s="229"/>
      <c r="W107" s="554">
        <v>0.13300000000000001</v>
      </c>
      <c r="X107" s="554"/>
      <c r="Y107" s="554"/>
      <c r="Z107" s="229"/>
      <c r="AA107" s="554">
        <v>0.13700000000000001</v>
      </c>
      <c r="AB107" s="554"/>
      <c r="AC107" s="554"/>
      <c r="AD107" s="110"/>
      <c r="AE107" s="18"/>
      <c r="AF107" s="37"/>
      <c r="AG107" s="37"/>
      <c r="AH107" s="90"/>
      <c r="AI107" s="87"/>
      <c r="AJ107" s="87"/>
    </row>
    <row r="108" spans="1:37" ht="12.75" customHeight="1" x14ac:dyDescent="0.2">
      <c r="C108" s="84"/>
      <c r="D108" s="84"/>
      <c r="E108" s="88"/>
      <c r="F108" s="590"/>
      <c r="G108" s="448" t="s">
        <v>220</v>
      </c>
      <c r="H108" s="448"/>
      <c r="I108" s="448"/>
      <c r="J108" s="449"/>
      <c r="K108" s="559">
        <v>1.4999999999999999E-2</v>
      </c>
      <c r="L108" s="559"/>
      <c r="M108" s="559"/>
      <c r="N108" s="110"/>
      <c r="O108" s="559">
        <v>1.4999999999999999E-2</v>
      </c>
      <c r="P108" s="559"/>
      <c r="Q108" s="559"/>
      <c r="R108" s="110"/>
      <c r="S108" s="559">
        <v>1.4999999999999999E-2</v>
      </c>
      <c r="T108" s="559"/>
      <c r="U108" s="559"/>
      <c r="V108" s="110"/>
      <c r="W108" s="559">
        <v>1.4999999999999999E-2</v>
      </c>
      <c r="X108" s="559"/>
      <c r="Y108" s="559"/>
      <c r="Z108" s="110"/>
      <c r="AA108" s="559">
        <v>1.4999999999999999E-2</v>
      </c>
      <c r="AB108" s="559"/>
      <c r="AC108" s="559"/>
      <c r="AD108" s="110"/>
      <c r="AE108" s="18"/>
      <c r="AF108" s="37"/>
      <c r="AG108" s="37"/>
      <c r="AH108" s="90"/>
      <c r="AI108" s="87"/>
      <c r="AJ108" s="87"/>
    </row>
    <row r="109" spans="1:37" ht="12.75" customHeight="1" x14ac:dyDescent="0.2">
      <c r="C109" s="95"/>
      <c r="D109" s="95"/>
      <c r="E109" s="88"/>
      <c r="F109" s="590"/>
      <c r="G109" s="450"/>
      <c r="H109" s="450"/>
      <c r="I109" s="450"/>
      <c r="J109" s="449"/>
      <c r="K109" s="111"/>
      <c r="L109" s="111"/>
      <c r="M109" s="111"/>
      <c r="N109" s="110"/>
      <c r="O109" s="111"/>
      <c r="P109" s="111"/>
      <c r="Q109" s="111"/>
      <c r="R109" s="110"/>
      <c r="S109" s="111"/>
      <c r="T109" s="111"/>
      <c r="U109" s="111"/>
      <c r="V109" s="110"/>
      <c r="W109" s="111"/>
      <c r="X109" s="111"/>
      <c r="Y109" s="111"/>
      <c r="Z109" s="110"/>
      <c r="AA109" s="111"/>
      <c r="AB109" s="111"/>
      <c r="AC109" s="111"/>
      <c r="AD109" s="110"/>
      <c r="AE109" s="18"/>
      <c r="AF109" s="37"/>
      <c r="AG109" s="37"/>
      <c r="AH109" s="90"/>
      <c r="AI109" s="87"/>
      <c r="AJ109" s="87"/>
    </row>
    <row r="110" spans="1:37" ht="12.75" customHeight="1" x14ac:dyDescent="0.2">
      <c r="C110" s="84"/>
      <c r="D110" s="84"/>
      <c r="E110" s="88"/>
      <c r="F110" s="590"/>
      <c r="G110" s="574" t="s">
        <v>70</v>
      </c>
      <c r="H110" s="574"/>
      <c r="I110" s="575" t="s">
        <v>2</v>
      </c>
      <c r="J110" s="62"/>
      <c r="K110" s="565">
        <f>PMT(Field_TasaNom_Sim_1/12,Field_Plazo1,-Field_MontoFinanciar_S1,0)</f>
        <v>135346.17101591753</v>
      </c>
      <c r="L110" s="565"/>
      <c r="M110" s="565"/>
      <c r="N110" s="110"/>
      <c r="O110" s="565">
        <f>PMT(Field_TasaNom_Sim_2/12,Field_Plazo2,-Field_MontoFinanciar_S2,0)</f>
        <v>96054.221743312213</v>
      </c>
      <c r="P110" s="565"/>
      <c r="Q110" s="565"/>
      <c r="R110" s="110"/>
      <c r="S110" s="565">
        <f>PMT(Field_TasaNom_Sim_3/12,Field_Plazo3,-Field_MontoFinanciar_S3,0)</f>
        <v>76753.444290064654</v>
      </c>
      <c r="T110" s="565"/>
      <c r="U110" s="565"/>
      <c r="V110" s="110"/>
      <c r="W110" s="565">
        <f>PMT(Field_TasaNom_Sim_4/12,Field_Plazo4,-Field_MontoFinanciar_S4,0)</f>
        <v>65536.738869546549</v>
      </c>
      <c r="X110" s="565"/>
      <c r="Y110" s="565"/>
      <c r="Z110" s="110"/>
      <c r="AA110" s="565">
        <f>PMT(Field_TasaNom_Sim_5/12,Field_Plazo5,-Field_MontoFinanciar_S5,0)</f>
        <v>58494.396727029212</v>
      </c>
      <c r="AB110" s="565"/>
      <c r="AC110" s="565"/>
      <c r="AD110" s="110"/>
      <c r="AE110" s="18"/>
      <c r="AF110" s="37"/>
      <c r="AG110" s="37"/>
      <c r="AH110" s="90"/>
      <c r="AI110" s="87"/>
      <c r="AJ110" s="87"/>
    </row>
    <row r="111" spans="1:37" ht="12.75" customHeight="1" x14ac:dyDescent="0.2">
      <c r="C111" s="84"/>
      <c r="D111" s="84"/>
      <c r="E111" s="88"/>
      <c r="F111" s="590"/>
      <c r="G111" s="101"/>
      <c r="H111" s="101"/>
      <c r="I111" s="101"/>
      <c r="J111" s="62"/>
      <c r="K111" s="111"/>
      <c r="L111" s="111"/>
      <c r="M111" s="111"/>
      <c r="N111" s="110"/>
      <c r="O111" s="111"/>
      <c r="P111" s="111"/>
      <c r="Q111" s="111"/>
      <c r="R111" s="110"/>
      <c r="S111" s="111"/>
      <c r="T111" s="111"/>
      <c r="U111" s="111"/>
      <c r="V111" s="110"/>
      <c r="W111" s="111"/>
      <c r="X111" s="111"/>
      <c r="Y111" s="111"/>
      <c r="Z111" s="110"/>
      <c r="AA111" s="111"/>
      <c r="AB111" s="111"/>
      <c r="AC111" s="111"/>
      <c r="AD111" s="110"/>
      <c r="AE111" s="18"/>
      <c r="AF111" s="37"/>
      <c r="AG111" s="37"/>
      <c r="AH111" s="90"/>
      <c r="AI111" s="87"/>
      <c r="AJ111" s="87"/>
    </row>
    <row r="112" spans="1:37" ht="12.75" hidden="1" customHeight="1" x14ac:dyDescent="0.2">
      <c r="A112" s="108"/>
      <c r="B112" s="108"/>
      <c r="C112" s="84"/>
      <c r="D112" s="84"/>
      <c r="E112" s="88"/>
      <c r="F112" s="590"/>
      <c r="G112" s="506" t="s">
        <v>213</v>
      </c>
      <c r="H112" s="506"/>
      <c r="I112" s="601" t="s">
        <v>215</v>
      </c>
      <c r="J112" s="62"/>
      <c r="K112" s="585">
        <f>IFERROR(COTIZACION!S37,0)</f>
        <v>0.14031412069437632</v>
      </c>
      <c r="L112" s="586"/>
      <c r="M112" s="587"/>
      <c r="N112" s="110"/>
      <c r="O112" s="588">
        <f>IFERROR(COTIZACION!T37,0)</f>
        <v>0.13809000874955046</v>
      </c>
      <c r="P112" s="588"/>
      <c r="Q112" s="589"/>
      <c r="R112" s="110"/>
      <c r="S112" s="588">
        <f>IFERROR(COTIZACION!U37,0)</f>
        <v>0.13819536231871776</v>
      </c>
      <c r="T112" s="588"/>
      <c r="U112" s="589"/>
      <c r="V112" s="110"/>
      <c r="W112" s="588">
        <f>IFERROR(COTIZACION!V37,0)</f>
        <v>0.13975936482194218</v>
      </c>
      <c r="X112" s="588"/>
      <c r="Y112" s="589"/>
      <c r="Z112" s="110"/>
      <c r="AA112" s="588">
        <f>IFERROR(COTIZACION!W37,0)</f>
        <v>0.14281535381250965</v>
      </c>
      <c r="AB112" s="588"/>
      <c r="AC112" s="589"/>
      <c r="AD112" s="110"/>
      <c r="AE112" s="18"/>
      <c r="AF112" s="37"/>
      <c r="AG112" s="37"/>
      <c r="AH112" s="90"/>
      <c r="AI112" s="87"/>
      <c r="AJ112" s="87"/>
    </row>
    <row r="113" spans="1:36" ht="12.75" hidden="1" customHeight="1" x14ac:dyDescent="0.2">
      <c r="A113" s="108"/>
      <c r="B113" s="108"/>
      <c r="C113" s="84"/>
      <c r="D113" s="84"/>
      <c r="E113" s="88"/>
      <c r="F113" s="590"/>
      <c r="G113" s="506" t="s">
        <v>212</v>
      </c>
      <c r="H113" s="506"/>
      <c r="I113" s="601" t="s">
        <v>215</v>
      </c>
      <c r="J113" s="62"/>
      <c r="K113" s="583">
        <f>VLOOKUP(Field_Plazo1,IF(Field_Moneda="pesos",cat_tirminplazomn,cat_tirminplazous),IF(Field_MontoFinanciar_S1&lt;= cat_montoTasa_1,3,IF(Field_MontoFinanciar_S1&lt;=cat_montoTasa_2,4,5)),FALSE)</f>
        <v>0.13100000000000001</v>
      </c>
      <c r="L113" s="583"/>
      <c r="M113" s="583"/>
      <c r="N113" s="110"/>
      <c r="O113" s="583">
        <f>VLOOKUP(Field_Plazo2,IF(Field_Moneda="pesos",cat_tirminplazomn,cat_tirminplazous),IF(Field_MontoFinanciar_S2&lt;= cat_montoTasa_1,3,IF(Field_MontoFinanciar_S2&lt;=cat_montoTasa_2,4,5)),FALSE)</f>
        <v>0.13100000000000001</v>
      </c>
      <c r="P113" s="583"/>
      <c r="Q113" s="583"/>
      <c r="R113" s="110"/>
      <c r="S113" s="583">
        <f>VLOOKUP(Field_Plazo3,IF(Field_Moneda="pesos",cat_tirminplazomn,cat_tirminplazous),IF(Field_MontoFinanciar_S3&lt;= cat_montoTasa_1,3,IF(Field_MontoFinanciar_S3&lt;=cat_montoTasa_2,4,5)),FALSE)</f>
        <v>0.13100000000000001</v>
      </c>
      <c r="T113" s="583"/>
      <c r="U113" s="583"/>
      <c r="V113" s="110"/>
      <c r="W113" s="583">
        <f>VLOOKUP(Field_Plazo4,IF(Field_Moneda="pesos",cat_tirminplazomn,cat_tirminplazous),IF(Field_MontoFinanciar_S4&lt;= cat_montoTasa_1,3,IF(Field_MontoFinanciar_S4&lt;=cat_montoTasa_2,4,5)),FALSE)</f>
        <v>0.13100000000000001</v>
      </c>
      <c r="X113" s="583"/>
      <c r="Y113" s="583"/>
      <c r="Z113" s="110"/>
      <c r="AA113" s="583">
        <f>VLOOKUP(Field_Plazo5,IF(Field_Moneda="pesos",cat_tirminplazomn,cat_tirminplazous),IF(Field_MontoFinanciar_S5&lt;= cat_montoTasa_1,3,IF(Field_MontoFinanciar_S5&lt;=cat_montoTasa_2,4,5)),FALSE)</f>
        <v>0.13100000000000001</v>
      </c>
      <c r="AB113" s="583"/>
      <c r="AC113" s="583"/>
      <c r="AD113" s="110"/>
      <c r="AE113" s="18"/>
      <c r="AF113" s="37"/>
      <c r="AG113" s="37"/>
      <c r="AH113" s="90"/>
      <c r="AI113" s="87"/>
      <c r="AJ113" s="87"/>
    </row>
    <row r="114" spans="1:36" ht="12.75" customHeight="1" x14ac:dyDescent="0.2">
      <c r="C114" s="84"/>
      <c r="D114" s="84"/>
      <c r="E114" s="88"/>
      <c r="F114" s="590"/>
      <c r="G114" s="62"/>
      <c r="H114" s="62"/>
      <c r="I114" s="62"/>
      <c r="J114" s="62"/>
      <c r="K114" s="111"/>
      <c r="L114" s="111"/>
      <c r="M114" s="111"/>
      <c r="N114" s="110"/>
      <c r="O114" s="111"/>
      <c r="P114" s="111"/>
      <c r="Q114" s="111"/>
      <c r="R114" s="110"/>
      <c r="S114" s="111"/>
      <c r="T114" s="111"/>
      <c r="U114" s="111"/>
      <c r="V114" s="110"/>
      <c r="W114" s="111"/>
      <c r="X114" s="111"/>
      <c r="Y114" s="111"/>
      <c r="Z114" s="110"/>
      <c r="AA114" s="111"/>
      <c r="AB114" s="111"/>
      <c r="AC114" s="111"/>
      <c r="AD114" s="110"/>
      <c r="AE114" s="18"/>
      <c r="AF114" s="37"/>
      <c r="AG114" s="37"/>
      <c r="AH114" s="90"/>
      <c r="AI114" s="87"/>
      <c r="AJ114" s="87"/>
    </row>
    <row r="115" spans="1:36" ht="12.75" customHeight="1" x14ac:dyDescent="0.2">
      <c r="C115" s="84"/>
      <c r="D115" s="84"/>
      <c r="E115" s="88"/>
      <c r="F115" s="590"/>
      <c r="G115" s="62"/>
      <c r="H115" s="62"/>
      <c r="I115" s="62"/>
      <c r="J115" s="62"/>
      <c r="K115" s="111"/>
      <c r="L115" s="111"/>
      <c r="M115" s="111"/>
      <c r="N115" s="110"/>
      <c r="O115" s="111"/>
      <c r="P115" s="111"/>
      <c r="Q115" s="111"/>
      <c r="R115" s="110"/>
      <c r="S115" s="111"/>
      <c r="T115" s="111"/>
      <c r="U115" s="111"/>
      <c r="V115" s="110"/>
      <c r="W115" s="111"/>
      <c r="X115" s="111"/>
      <c r="Y115" s="111"/>
      <c r="Z115" s="110"/>
      <c r="AA115" s="111"/>
      <c r="AB115" s="111"/>
      <c r="AC115" s="111"/>
      <c r="AD115" s="110"/>
      <c r="AE115" s="18"/>
      <c r="AF115" s="37"/>
      <c r="AG115" s="37"/>
      <c r="AH115" s="90"/>
      <c r="AI115" s="87"/>
      <c r="AJ115" s="87"/>
    </row>
    <row r="116" spans="1:36" ht="13.5" customHeight="1" x14ac:dyDescent="0.2">
      <c r="C116" s="84"/>
      <c r="D116" s="84"/>
      <c r="E116" s="88"/>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32"/>
    </row>
    <row r="117" spans="1:36" ht="12" customHeight="1" x14ac:dyDescent="0.2">
      <c r="A117" s="451" t="str">
        <f ca="1">CELL("nombrearchivo")</f>
        <v>C:\Users\BRM09819\Downloads\[Cotizador HYUNDAI vrs.1.2.xlsx]Catalogos</v>
      </c>
      <c r="C117" s="84"/>
      <c r="D117" s="84"/>
      <c r="E117" s="88"/>
      <c r="F117" s="19"/>
      <c r="G117" s="19"/>
      <c r="H117" s="19"/>
      <c r="I117" s="18"/>
      <c r="J117" s="18"/>
      <c r="K117" s="576" t="str">
        <f>IF(SUM(K44:AC44)&gt;3,"Se ha seleccionado mas de 3 plazos para enviar en la propuesta, solo se tomaran los 3 primeros !! ","")</f>
        <v xml:space="preserve">Se ha seleccionado mas de 3 plazos para enviar en la propuesta, solo se tomaran los 3 primeros !! </v>
      </c>
      <c r="L117" s="576"/>
      <c r="M117" s="577"/>
      <c r="N117" s="577"/>
      <c r="O117" s="577"/>
      <c r="P117" s="577"/>
      <c r="Q117" s="577"/>
      <c r="R117" s="577"/>
      <c r="S117" s="577"/>
      <c r="T117" s="577"/>
      <c r="U117" s="577"/>
      <c r="V117" s="577"/>
      <c r="W117" s="577"/>
      <c r="X117" s="577"/>
      <c r="Y117" s="577"/>
      <c r="Z117" s="577"/>
      <c r="AA117" s="577"/>
      <c r="AB117" s="577"/>
      <c r="AC117" s="577"/>
      <c r="AD117" s="18"/>
      <c r="AE117" s="18"/>
      <c r="AF117" s="18"/>
      <c r="AG117" s="18"/>
      <c r="AH117" s="133"/>
      <c r="AI117" s="132"/>
      <c r="AJ117" s="132"/>
    </row>
    <row r="118" spans="1:36" ht="13.5" customHeight="1" x14ac:dyDescent="0.25">
      <c r="C118" s="84"/>
      <c r="D118" s="84"/>
      <c r="E118" s="88"/>
      <c r="F118" s="19"/>
      <c r="G118" s="134"/>
      <c r="H118" s="134"/>
      <c r="I118" s="18"/>
      <c r="J118" s="18"/>
      <c r="K118" s="577"/>
      <c r="L118" s="577"/>
      <c r="M118" s="577"/>
      <c r="N118" s="577"/>
      <c r="O118" s="577"/>
      <c r="P118" s="577"/>
      <c r="Q118" s="577"/>
      <c r="R118" s="577"/>
      <c r="S118" s="577"/>
      <c r="T118" s="577"/>
      <c r="U118" s="577"/>
      <c r="V118" s="577"/>
      <c r="W118" s="577"/>
      <c r="X118" s="577"/>
      <c r="Y118" s="577"/>
      <c r="Z118" s="577"/>
      <c r="AA118" s="577"/>
      <c r="AB118" s="577"/>
      <c r="AC118" s="577"/>
      <c r="AD118" s="18"/>
      <c r="AE118" s="18"/>
      <c r="AF118" s="18"/>
      <c r="AG118" s="18"/>
      <c r="AH118" s="133"/>
      <c r="AI118" s="132"/>
      <c r="AJ118" s="132"/>
    </row>
    <row r="119" spans="1:36" ht="13.5" customHeight="1" x14ac:dyDescent="0.25">
      <c r="C119" s="84"/>
      <c r="D119" s="84"/>
      <c r="E119" s="88"/>
      <c r="F119" s="19"/>
      <c r="G119" s="134"/>
      <c r="H119" s="134"/>
      <c r="I119" s="18"/>
      <c r="J119" s="18"/>
      <c r="K119" s="577"/>
      <c r="L119" s="577"/>
      <c r="M119" s="577"/>
      <c r="N119" s="577"/>
      <c r="O119" s="577"/>
      <c r="P119" s="577"/>
      <c r="Q119" s="577"/>
      <c r="R119" s="577"/>
      <c r="S119" s="577"/>
      <c r="T119" s="577"/>
      <c r="U119" s="577"/>
      <c r="V119" s="577"/>
      <c r="W119" s="577"/>
      <c r="X119" s="577"/>
      <c r="Y119" s="577"/>
      <c r="Z119" s="577"/>
      <c r="AA119" s="577"/>
      <c r="AB119" s="577"/>
      <c r="AC119" s="577"/>
      <c r="AD119" s="18"/>
      <c r="AE119" s="18"/>
      <c r="AF119" s="18"/>
      <c r="AG119" s="18"/>
      <c r="AH119" s="133"/>
      <c r="AI119" s="132"/>
      <c r="AJ119" s="132"/>
    </row>
    <row r="120" spans="1:36" ht="13.5" customHeight="1" x14ac:dyDescent="0.2">
      <c r="C120" s="84"/>
      <c r="D120" s="84"/>
      <c r="E120" s="88"/>
      <c r="F120" s="19"/>
      <c r="G120" s="19"/>
      <c r="H120" s="19"/>
      <c r="I120" s="18"/>
      <c r="J120" s="18"/>
      <c r="K120" s="577"/>
      <c r="L120" s="577"/>
      <c r="M120" s="577"/>
      <c r="N120" s="577"/>
      <c r="O120" s="577"/>
      <c r="P120" s="577"/>
      <c r="Q120" s="577"/>
      <c r="R120" s="577"/>
      <c r="S120" s="577"/>
      <c r="T120" s="577"/>
      <c r="U120" s="577"/>
      <c r="V120" s="577"/>
      <c r="W120" s="577"/>
      <c r="X120" s="577"/>
      <c r="Y120" s="577"/>
      <c r="Z120" s="577"/>
      <c r="AA120" s="577"/>
      <c r="AB120" s="577"/>
      <c r="AC120" s="577"/>
      <c r="AD120" s="18"/>
      <c r="AE120" s="18"/>
      <c r="AF120" s="18"/>
      <c r="AG120" s="18"/>
      <c r="AH120" s="133"/>
      <c r="AI120" s="132"/>
      <c r="AJ120" s="132"/>
    </row>
    <row r="121" spans="1:36" ht="13.5" customHeight="1" x14ac:dyDescent="0.2">
      <c r="C121" s="84"/>
      <c r="D121" s="84"/>
      <c r="E121" s="88"/>
      <c r="F121" s="19"/>
      <c r="G121" s="19"/>
      <c r="H121" s="19"/>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33"/>
      <c r="AI121" s="132"/>
      <c r="AJ121" s="132"/>
    </row>
    <row r="122" spans="1:36" ht="13.5" hidden="1" customHeight="1" x14ac:dyDescent="0.2">
      <c r="E122" s="89"/>
      <c r="F122" s="28"/>
      <c r="G122" s="28"/>
      <c r="H122" s="2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23"/>
    </row>
    <row r="123" spans="1:36" ht="15.75" hidden="1" customHeight="1" x14ac:dyDescent="0.2">
      <c r="E123" s="89"/>
      <c r="F123" s="28"/>
      <c r="G123" s="28"/>
      <c r="H123" s="2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23"/>
    </row>
    <row r="124" spans="1:36" ht="13.5" hidden="1" customHeight="1" x14ac:dyDescent="0.2">
      <c r="E124" s="89"/>
      <c r="K124" s="24"/>
      <c r="L124" s="24"/>
      <c r="M124" s="8"/>
      <c r="N124" s="8"/>
      <c r="O124" s="8"/>
      <c r="P124" s="8"/>
      <c r="Q124" s="8"/>
      <c r="R124" s="8"/>
      <c r="S124" s="8"/>
      <c r="T124" s="8"/>
      <c r="U124" s="8"/>
      <c r="V124" s="8"/>
      <c r="W124" s="8"/>
      <c r="X124" s="8"/>
      <c r="Y124" s="8"/>
      <c r="Z124" s="8"/>
      <c r="AA124" s="8"/>
      <c r="AB124" s="8"/>
      <c r="AC124" s="8"/>
      <c r="AD124" s="8"/>
      <c r="AE124" s="8"/>
      <c r="AF124" s="8"/>
      <c r="AG124" s="8"/>
      <c r="AH124" s="23"/>
    </row>
    <row r="125" spans="1:36" hidden="1" x14ac:dyDescent="0.2">
      <c r="E125" s="89"/>
      <c r="AE125" s="8"/>
      <c r="AF125" s="8"/>
      <c r="AG125" s="8"/>
      <c r="AH125" s="23"/>
    </row>
    <row r="126" spans="1:36" s="8" customFormat="1" ht="13.5" hidden="1" customHeight="1" x14ac:dyDescent="0.2">
      <c r="A126" s="6"/>
      <c r="B126" s="6"/>
      <c r="E126" s="89"/>
      <c r="F126" s="29"/>
      <c r="G126" s="29"/>
      <c r="H126" s="29"/>
      <c r="I126" s="9"/>
      <c r="J126" s="9"/>
      <c r="K126" s="9"/>
      <c r="L126" s="9"/>
      <c r="M126" s="9"/>
      <c r="N126" s="9"/>
      <c r="O126" s="9"/>
      <c r="P126" s="9"/>
      <c r="Q126" s="9"/>
      <c r="R126" s="9"/>
      <c r="S126" s="9"/>
      <c r="T126" s="9"/>
      <c r="U126" s="9"/>
      <c r="V126" s="9"/>
      <c r="W126" s="9"/>
      <c r="X126" s="9"/>
      <c r="Y126" s="9"/>
      <c r="Z126" s="9"/>
      <c r="AA126" s="9"/>
      <c r="AB126" s="9"/>
      <c r="AC126" s="9"/>
      <c r="AD126" s="9"/>
      <c r="AH126" s="23"/>
      <c r="AI126" s="9"/>
      <c r="AJ126" s="9"/>
    </row>
    <row r="127" spans="1:36" hidden="1" x14ac:dyDescent="0.2">
      <c r="E127" s="89"/>
      <c r="AE127" s="8"/>
      <c r="AF127" s="8"/>
      <c r="AG127" s="8"/>
      <c r="AH127" s="23"/>
    </row>
    <row r="128" spans="1:36" hidden="1" x14ac:dyDescent="0.2">
      <c r="E128" s="89"/>
      <c r="AE128" s="8"/>
      <c r="AF128" s="8"/>
      <c r="AG128" s="8"/>
      <c r="AH128" s="23"/>
    </row>
    <row r="129" spans="5:34" hidden="1" x14ac:dyDescent="0.2">
      <c r="E129" s="89"/>
      <c r="AE129" s="8"/>
      <c r="AF129" s="8"/>
      <c r="AG129" s="8"/>
      <c r="AH129" s="23"/>
    </row>
    <row r="130" spans="5:34" hidden="1" x14ac:dyDescent="0.2">
      <c r="E130" s="89"/>
      <c r="AE130" s="8"/>
      <c r="AF130" s="8"/>
      <c r="AG130" s="8"/>
      <c r="AH130" s="23"/>
    </row>
    <row r="131" spans="5:34" ht="3.75" hidden="1" customHeight="1" x14ac:dyDescent="0.2">
      <c r="E131" s="89"/>
      <c r="AE131" s="8"/>
      <c r="AF131" s="8"/>
      <c r="AG131" s="8"/>
      <c r="AH131" s="8"/>
    </row>
    <row r="132" spans="5:34" hidden="1" x14ac:dyDescent="0.2">
      <c r="E132" s="89"/>
      <c r="AE132" s="8"/>
      <c r="AF132" s="8"/>
      <c r="AG132" s="8"/>
      <c r="AH132" s="8"/>
    </row>
    <row r="133" spans="5:34" hidden="1" x14ac:dyDescent="0.2">
      <c r="E133" s="89"/>
      <c r="AE133" s="8"/>
      <c r="AF133" s="8"/>
      <c r="AG133" s="8"/>
      <c r="AH133" s="8"/>
    </row>
    <row r="134" spans="5:34" hidden="1" x14ac:dyDescent="0.2">
      <c r="E134" s="89"/>
      <c r="AE134" s="8"/>
      <c r="AF134" s="8"/>
      <c r="AG134" s="8"/>
      <c r="AH134" s="8"/>
    </row>
    <row r="135" spans="5:34" hidden="1" x14ac:dyDescent="0.2">
      <c r="E135" s="89"/>
      <c r="AE135" s="8"/>
      <c r="AF135" s="8"/>
      <c r="AG135" s="8"/>
      <c r="AH135" s="8"/>
    </row>
    <row r="136" spans="5:34" hidden="1" x14ac:dyDescent="0.2">
      <c r="E136" s="89"/>
      <c r="AE136" s="8"/>
      <c r="AF136" s="8"/>
      <c r="AG136" s="8"/>
      <c r="AH136" s="8"/>
    </row>
    <row r="137" spans="5:34" hidden="1" x14ac:dyDescent="0.2">
      <c r="E137" s="89"/>
      <c r="AE137" s="8"/>
      <c r="AF137" s="8"/>
      <c r="AG137" s="8"/>
    </row>
    <row r="138" spans="5:34" hidden="1" x14ac:dyDescent="0.2">
      <c r="E138" s="89"/>
    </row>
    <row r="139" spans="5:34" hidden="1" x14ac:dyDescent="0.2">
      <c r="E139" s="89"/>
    </row>
    <row r="140" spans="5:34" hidden="1" x14ac:dyDescent="0.2">
      <c r="E140" s="89"/>
    </row>
    <row r="141" spans="5:34" hidden="1" x14ac:dyDescent="0.2">
      <c r="E141" s="89"/>
    </row>
    <row r="142" spans="5:34" hidden="1" x14ac:dyDescent="0.2">
      <c r="E142" s="89"/>
    </row>
    <row r="143" spans="5:34" hidden="1" x14ac:dyDescent="0.2">
      <c r="E143" s="89"/>
    </row>
    <row r="144" spans="5:34" hidden="1" x14ac:dyDescent="0.2">
      <c r="E144" s="89"/>
    </row>
    <row r="145" spans="3:5" hidden="1" x14ac:dyDescent="0.2">
      <c r="E145" s="89"/>
    </row>
    <row r="146" spans="3:5" hidden="1" x14ac:dyDescent="0.2">
      <c r="E146" s="89"/>
    </row>
    <row r="147" spans="3:5" hidden="1" x14ac:dyDescent="0.2">
      <c r="E147" s="89"/>
    </row>
    <row r="148" spans="3:5" hidden="1" x14ac:dyDescent="0.2">
      <c r="E148" s="89"/>
    </row>
    <row r="149" spans="3:5" hidden="1" x14ac:dyDescent="0.2">
      <c r="C149" s="84"/>
      <c r="D149" s="84"/>
    </row>
    <row r="150" spans="3:5" hidden="1" x14ac:dyDescent="0.2">
      <c r="C150" s="84"/>
      <c r="D150" s="84"/>
    </row>
    <row r="151" spans="3:5" hidden="1" x14ac:dyDescent="0.2">
      <c r="C151" s="84"/>
      <c r="D151" s="84"/>
    </row>
  </sheetData>
  <sheetProtection password="8048" sheet="1" objects="1" scenarios="1"/>
  <dataConsolidate link="1"/>
  <mergeCells count="284">
    <mergeCell ref="F4:AD5"/>
    <mergeCell ref="G49:I49"/>
    <mergeCell ref="AA49:AC49"/>
    <mergeCell ref="S53:U53"/>
    <mergeCell ref="K49:M49"/>
    <mergeCell ref="G113:I113"/>
    <mergeCell ref="F100:F115"/>
    <mergeCell ref="G69:I69"/>
    <mergeCell ref="K72:M72"/>
    <mergeCell ref="O72:Q72"/>
    <mergeCell ref="K76:M76"/>
    <mergeCell ref="H47:I47"/>
    <mergeCell ref="K103:M103"/>
    <mergeCell ref="O103:Q103"/>
    <mergeCell ref="O112:Q112"/>
    <mergeCell ref="N61:Q61"/>
    <mergeCell ref="F79:F98"/>
    <mergeCell ref="G112:I112"/>
    <mergeCell ref="K53:M53"/>
    <mergeCell ref="F44:I44"/>
    <mergeCell ref="F43:I43"/>
    <mergeCell ref="F45:I45"/>
    <mergeCell ref="G54:I54"/>
    <mergeCell ref="G53:I53"/>
    <mergeCell ref="G67:I67"/>
    <mergeCell ref="F52:F77"/>
    <mergeCell ref="O54:Q54"/>
    <mergeCell ref="S6:W6"/>
    <mergeCell ref="W56:Y56"/>
    <mergeCell ref="AA56:AC56"/>
    <mergeCell ref="K52:M52"/>
    <mergeCell ref="O52:Q52"/>
    <mergeCell ref="S52:U52"/>
    <mergeCell ref="O44:Q44"/>
    <mergeCell ref="O47:Q47"/>
    <mergeCell ref="K44:M44"/>
    <mergeCell ref="K47:M47"/>
    <mergeCell ref="R34:V34"/>
    <mergeCell ref="K55:M55"/>
    <mergeCell ref="O55:Q55"/>
    <mergeCell ref="S55:U55"/>
    <mergeCell ref="W55:Y55"/>
    <mergeCell ref="AA53:AC53"/>
    <mergeCell ref="W53:Y53"/>
    <mergeCell ref="W54:Y54"/>
    <mergeCell ref="Y23:AA23"/>
    <mergeCell ref="S54:U54"/>
    <mergeCell ref="K54:M54"/>
    <mergeCell ref="K113:M113"/>
    <mergeCell ref="O113:Q113"/>
    <mergeCell ref="S105:U105"/>
    <mergeCell ref="W105:Y105"/>
    <mergeCell ref="S110:U110"/>
    <mergeCell ref="K108:M108"/>
    <mergeCell ref="W110:Y110"/>
    <mergeCell ref="O108:Q108"/>
    <mergeCell ref="AA110:AC110"/>
    <mergeCell ref="K112:M112"/>
    <mergeCell ref="S113:U113"/>
    <mergeCell ref="S112:U112"/>
    <mergeCell ref="W112:Y112"/>
    <mergeCell ref="K110:M110"/>
    <mergeCell ref="O110:Q110"/>
    <mergeCell ref="AA112:AC112"/>
    <mergeCell ref="AA83:AC83"/>
    <mergeCell ref="AA76:AC76"/>
    <mergeCell ref="AA75:AC75"/>
    <mergeCell ref="AA74:AC74"/>
    <mergeCell ref="S67:U67"/>
    <mergeCell ref="S61:U61"/>
    <mergeCell ref="W113:Y113"/>
    <mergeCell ref="AA113:AC113"/>
    <mergeCell ref="AA101:AC101"/>
    <mergeCell ref="AA93:AC93"/>
    <mergeCell ref="W72:Y72"/>
    <mergeCell ref="AA91:AC91"/>
    <mergeCell ref="AA86:AC86"/>
    <mergeCell ref="AA90:AC90"/>
    <mergeCell ref="AA85:AC85"/>
    <mergeCell ref="W93:Y93"/>
    <mergeCell ref="AA84:AC84"/>
    <mergeCell ref="W91:Y91"/>
    <mergeCell ref="W89:Y89"/>
    <mergeCell ref="AA44:AC44"/>
    <mergeCell ref="O49:Q49"/>
    <mergeCell ref="W49:Y49"/>
    <mergeCell ref="W44:Y44"/>
    <mergeCell ref="S44:U44"/>
    <mergeCell ref="K107:M107"/>
    <mergeCell ref="O107:Q107"/>
    <mergeCell ref="S82:U82"/>
    <mergeCell ref="S103:U103"/>
    <mergeCell ref="S86:U86"/>
    <mergeCell ref="K96:M96"/>
    <mergeCell ref="K84:M84"/>
    <mergeCell ref="O84:Q84"/>
    <mergeCell ref="O82:Q82"/>
    <mergeCell ref="K82:M82"/>
    <mergeCell ref="K83:M83"/>
    <mergeCell ref="O83:Q83"/>
    <mergeCell ref="K86:M86"/>
    <mergeCell ref="O86:Q86"/>
    <mergeCell ref="O85:Q85"/>
    <mergeCell ref="K85:M85"/>
    <mergeCell ref="K91:M91"/>
    <mergeCell ref="K57:M57"/>
    <mergeCell ref="S84:U84"/>
    <mergeCell ref="K117:AC120"/>
    <mergeCell ref="K88:M88"/>
    <mergeCell ref="O88:Q88"/>
    <mergeCell ref="S88:U88"/>
    <mergeCell ref="W88:Y88"/>
    <mergeCell ref="AA88:AC88"/>
    <mergeCell ref="K89:M89"/>
    <mergeCell ref="O89:Q89"/>
    <mergeCell ref="S89:U89"/>
    <mergeCell ref="AA89:AC89"/>
    <mergeCell ref="K90:M90"/>
    <mergeCell ref="O90:Q90"/>
    <mergeCell ref="S90:U90"/>
    <mergeCell ref="W90:Y90"/>
    <mergeCell ref="W94:Y94"/>
    <mergeCell ref="AA94:AC94"/>
    <mergeCell ref="W101:Y101"/>
    <mergeCell ref="AA96:AC96"/>
    <mergeCell ref="AA104:AC104"/>
    <mergeCell ref="S96:U96"/>
    <mergeCell ref="K94:M94"/>
    <mergeCell ref="O94:Q94"/>
    <mergeCell ref="S94:U94"/>
    <mergeCell ref="S93:U93"/>
    <mergeCell ref="G110:I110"/>
    <mergeCell ref="G104:I104"/>
    <mergeCell ref="K104:M104"/>
    <mergeCell ref="O104:Q104"/>
    <mergeCell ref="S104:U104"/>
    <mergeCell ref="W104:Y104"/>
    <mergeCell ref="W108:Y108"/>
    <mergeCell ref="W107:Y107"/>
    <mergeCell ref="S107:U107"/>
    <mergeCell ref="G106:I106"/>
    <mergeCell ref="S108:U108"/>
    <mergeCell ref="O105:Q105"/>
    <mergeCell ref="K105:M105"/>
    <mergeCell ref="G103:I103"/>
    <mergeCell ref="AA107:AC107"/>
    <mergeCell ref="AA108:AC108"/>
    <mergeCell ref="AA95:AC95"/>
    <mergeCell ref="AA105:AC105"/>
    <mergeCell ref="AA103:AC103"/>
    <mergeCell ref="G96:I96"/>
    <mergeCell ref="S95:U95"/>
    <mergeCell ref="O95:Q95"/>
    <mergeCell ref="K95:M95"/>
    <mergeCell ref="G95:I95"/>
    <mergeCell ref="W95:Y95"/>
    <mergeCell ref="W103:Y103"/>
    <mergeCell ref="W96:Y96"/>
    <mergeCell ref="O96:Q96"/>
    <mergeCell ref="K73:M73"/>
    <mergeCell ref="O73:Q73"/>
    <mergeCell ref="W82:Y82"/>
    <mergeCell ref="W86:Y86"/>
    <mergeCell ref="W80:Y80"/>
    <mergeCell ref="W73:Y73"/>
    <mergeCell ref="W75:Y75"/>
    <mergeCell ref="W85:Y85"/>
    <mergeCell ref="W84:Y84"/>
    <mergeCell ref="W83:Y83"/>
    <mergeCell ref="S85:U85"/>
    <mergeCell ref="S76:U76"/>
    <mergeCell ref="O91:Q91"/>
    <mergeCell ref="S91:U91"/>
    <mergeCell ref="S83:U83"/>
    <mergeCell ref="O76:Q76"/>
    <mergeCell ref="G93:I93"/>
    <mergeCell ref="K93:M93"/>
    <mergeCell ref="O93:Q93"/>
    <mergeCell ref="G92:I92"/>
    <mergeCell ref="W52:Y52"/>
    <mergeCell ref="O57:Q57"/>
    <mergeCell ref="G61:I61"/>
    <mergeCell ref="K61:M61"/>
    <mergeCell ref="S65:U65"/>
    <mergeCell ref="O65:Q65"/>
    <mergeCell ref="K64:M64"/>
    <mergeCell ref="K69:M69"/>
    <mergeCell ref="S64:U64"/>
    <mergeCell ref="K67:M67"/>
    <mergeCell ref="O67:Q67"/>
    <mergeCell ref="O64:Q64"/>
    <mergeCell ref="K75:M75"/>
    <mergeCell ref="O75:Q75"/>
    <mergeCell ref="S73:U73"/>
    <mergeCell ref="W74:Y74"/>
    <mergeCell ref="W64:Y64"/>
    <mergeCell ref="AA55:AC55"/>
    <mergeCell ref="AA63:AC63"/>
    <mergeCell ref="AA54:AC54"/>
    <mergeCell ref="AA82:AC82"/>
    <mergeCell ref="AA72:AC72"/>
    <mergeCell ref="AA80:AC80"/>
    <mergeCell ref="W67:Y67"/>
    <mergeCell ref="AA73:AC73"/>
    <mergeCell ref="AA61:AC61"/>
    <mergeCell ref="AA64:AC64"/>
    <mergeCell ref="AA65:AC65"/>
    <mergeCell ref="W69:Y69"/>
    <mergeCell ref="AA69:AC69"/>
    <mergeCell ref="AA71:AC71"/>
    <mergeCell ref="W65:Y65"/>
    <mergeCell ref="W71:Y71"/>
    <mergeCell ref="W76:Y76"/>
    <mergeCell ref="AA67:AC67"/>
    <mergeCell ref="AF45:AJ45"/>
    <mergeCell ref="Z39:AB39"/>
    <mergeCell ref="X34:AB34"/>
    <mergeCell ref="G83:J83"/>
    <mergeCell ref="G86:J86"/>
    <mergeCell ref="S63:U63"/>
    <mergeCell ref="G87:I87"/>
    <mergeCell ref="S75:U75"/>
    <mergeCell ref="S74:U74"/>
    <mergeCell ref="K74:M74"/>
    <mergeCell ref="K71:M71"/>
    <mergeCell ref="O74:Q74"/>
    <mergeCell ref="S72:U72"/>
    <mergeCell ref="O71:Q71"/>
    <mergeCell ref="S71:U71"/>
    <mergeCell ref="S47:U47"/>
    <mergeCell ref="W47:Y47"/>
    <mergeCell ref="S49:U49"/>
    <mergeCell ref="K65:M65"/>
    <mergeCell ref="AA57:AC57"/>
    <mergeCell ref="W63:Y63"/>
    <mergeCell ref="W61:Y61"/>
    <mergeCell ref="O69:Q69"/>
    <mergeCell ref="S69:U69"/>
    <mergeCell ref="M30:P30"/>
    <mergeCell ref="Y21:AA21"/>
    <mergeCell ref="K43:M43"/>
    <mergeCell ref="O43:Q43"/>
    <mergeCell ref="S43:U43"/>
    <mergeCell ref="W43:Y43"/>
    <mergeCell ref="H16:I16"/>
    <mergeCell ref="F21:I21"/>
    <mergeCell ref="L34:O34"/>
    <mergeCell ref="F34:K34"/>
    <mergeCell ref="AA43:AC43"/>
    <mergeCell ref="M25:P25"/>
    <mergeCell ref="M26:P26"/>
    <mergeCell ref="G25:J25"/>
    <mergeCell ref="G26:J26"/>
    <mergeCell ref="K25:L25"/>
    <mergeCell ref="K26:L26"/>
    <mergeCell ref="G29:J29"/>
    <mergeCell ref="K29:L29"/>
    <mergeCell ref="M29:P29"/>
    <mergeCell ref="M24:P24"/>
    <mergeCell ref="G28:J28"/>
    <mergeCell ref="K28:L28"/>
    <mergeCell ref="M28:P28"/>
    <mergeCell ref="AA47:AC47"/>
    <mergeCell ref="S57:U57"/>
    <mergeCell ref="O53:Q53"/>
    <mergeCell ref="S56:U56"/>
    <mergeCell ref="K56:M56"/>
    <mergeCell ref="O56:Q56"/>
    <mergeCell ref="G58:I58"/>
    <mergeCell ref="K63:M63"/>
    <mergeCell ref="O63:Q63"/>
    <mergeCell ref="G62:I62"/>
    <mergeCell ref="W57:Y57"/>
    <mergeCell ref="AA52:AC52"/>
    <mergeCell ref="K10:T10"/>
    <mergeCell ref="K8:X8"/>
    <mergeCell ref="K14:T14"/>
    <mergeCell ref="T13:X13"/>
    <mergeCell ref="K13:R13"/>
    <mergeCell ref="J21:S21"/>
    <mergeCell ref="G27:J27"/>
    <mergeCell ref="K27:L27"/>
    <mergeCell ref="M27:P27"/>
    <mergeCell ref="K12:T12"/>
  </mergeCells>
  <phoneticPr fontId="20" type="noConversion"/>
  <conditionalFormatting sqref="K95:L95">
    <cfRule type="expression" dxfId="27" priority="133">
      <formula>Field_TasaEfec_Fin_1 &lt; Field_TasaMin_fin_1</formula>
    </cfRule>
  </conditionalFormatting>
  <conditionalFormatting sqref="O95:P95">
    <cfRule type="expression" dxfId="26" priority="105">
      <formula>Field_TasaEfec_Fin_2 &lt; Field_TasaMin_fin_2</formula>
    </cfRule>
  </conditionalFormatting>
  <conditionalFormatting sqref="S95:T95">
    <cfRule type="expression" dxfId="25" priority="104">
      <formula>Field_TasaEfec_Fin_3 &lt; Field_TasaMin_fin_3</formula>
    </cfRule>
  </conditionalFormatting>
  <conditionalFormatting sqref="W95:X95">
    <cfRule type="expression" dxfId="24" priority="103">
      <formula>Field_TasaEfec_Fin_4 &lt; Field_TasaMin_fin_4</formula>
    </cfRule>
  </conditionalFormatting>
  <conditionalFormatting sqref="AA95:AB95">
    <cfRule type="expression" dxfId="23" priority="102">
      <formula>Field_TasaEfec_Fin_5 &lt; Field_TasaMin_fin_5</formula>
    </cfRule>
  </conditionalFormatting>
  <conditionalFormatting sqref="K95:M96 K110:M110 K112:M113 K108:M108 W82:Y82 S82:U82 W103:Y103 S103:U103">
    <cfRule type="expression" dxfId="22" priority="70">
      <formula>$M$45=FALSE</formula>
    </cfRule>
  </conditionalFormatting>
  <conditionalFormatting sqref="AA72:AC73 AA95:AC96 AA110:AB110 AA112:AC113 AA71 AA108:AC108">
    <cfRule type="expression" dxfId="21" priority="69">
      <formula>$AC$45=FALSE</formula>
    </cfRule>
  </conditionalFormatting>
  <conditionalFormatting sqref="AA74:AC74">
    <cfRule type="expression" dxfId="20" priority="46">
      <formula>$AC$45=FALSE</formula>
    </cfRule>
  </conditionalFormatting>
  <conditionalFormatting sqref="AA75:AC76">
    <cfRule type="expression" dxfId="19" priority="40">
      <formula>$AC$45=FALSE</formula>
    </cfRule>
  </conditionalFormatting>
  <conditionalFormatting sqref="AA88:AC88">
    <cfRule type="expression" dxfId="18" priority="33">
      <formula>$AC$45=FALSE</formula>
    </cfRule>
  </conditionalFormatting>
  <conditionalFormatting sqref="M24">
    <cfRule type="expression" dxfId="17" priority="20">
      <formula>IF($J$23="No",IF($M$23&gt;0,TRUE,FALSE),FALSE)</formula>
    </cfRule>
  </conditionalFormatting>
  <conditionalFormatting sqref="K117:AC120">
    <cfRule type="expression" dxfId="16" priority="19">
      <formula>$K$117 &lt;&gt; ""</formula>
    </cfRule>
  </conditionalFormatting>
  <conditionalFormatting sqref="K90:M91">
    <cfRule type="expression" dxfId="15" priority="13">
      <formula>$M$45=FALSE</formula>
    </cfRule>
  </conditionalFormatting>
  <conditionalFormatting sqref="O90:Q91">
    <cfRule type="expression" dxfId="14" priority="12">
      <formula>$M$45=FALSE</formula>
    </cfRule>
  </conditionalFormatting>
  <conditionalFormatting sqref="S90:U91">
    <cfRule type="expression" dxfId="13" priority="11">
      <formula>$M$45=FALSE</formula>
    </cfRule>
  </conditionalFormatting>
  <conditionalFormatting sqref="W90:Y91">
    <cfRule type="expression" dxfId="12" priority="10">
      <formula>$M$45=FALSE</formula>
    </cfRule>
  </conditionalFormatting>
  <conditionalFormatting sqref="K82:M82">
    <cfRule type="expression" dxfId="11" priority="9">
      <formula>$M$45=FALSE</formula>
    </cfRule>
  </conditionalFormatting>
  <conditionalFormatting sqref="O82:Q82">
    <cfRule type="expression" dxfId="10" priority="8">
      <formula>$M$45=FALSE</formula>
    </cfRule>
  </conditionalFormatting>
  <conditionalFormatting sqref="AA82:AC82">
    <cfRule type="expression" dxfId="9" priority="7">
      <formula>$M$45=FALSE</formula>
    </cfRule>
  </conditionalFormatting>
  <conditionalFormatting sqref="K103:M103">
    <cfRule type="expression" dxfId="8" priority="6">
      <formula>$M$45=FALSE</formula>
    </cfRule>
  </conditionalFormatting>
  <conditionalFormatting sqref="O103:Q103">
    <cfRule type="expression" dxfId="7" priority="5">
      <formula>$M$45=FALSE</formula>
    </cfRule>
  </conditionalFormatting>
  <conditionalFormatting sqref="AA103:AC103">
    <cfRule type="expression" dxfId="6" priority="4">
      <formula>$M$45=FALSE</formula>
    </cfRule>
  </conditionalFormatting>
  <conditionalFormatting sqref="K65:M65">
    <cfRule type="expression" dxfId="5" priority="3">
      <formula>$M$45=FALSE</formula>
    </cfRule>
  </conditionalFormatting>
  <conditionalFormatting sqref="AA65:AC65">
    <cfRule type="expression" dxfId="4" priority="2">
      <formula>$AC$45=FALSE</formula>
    </cfRule>
  </conditionalFormatting>
  <conditionalFormatting sqref="AA107:AC107">
    <cfRule type="expression" dxfId="3" priority="1">
      <formula>$AC$45=FALSE</formula>
    </cfRule>
  </conditionalFormatting>
  <dataValidations count="9">
    <dataValidation type="decimal" allowBlank="1" showInputMessage="1" showErrorMessage="1" sqref="K55:M55 O55:Q55 S55:U55 K84:M84 AA55:AC55 AA84:AC84 O84:Q84 S84:U84 W84:Y84 W55:Y55">
      <formula1>0</formula1>
      <formula2>1</formula2>
    </dataValidation>
    <dataValidation type="decimal" allowBlank="1" showInputMessage="1" showErrorMessage="1" sqref="K63:M63 O63:Q63 S63:U63 AA63:AC63 K53:M53 O53:Q53 S53:U53 AA53:AC53 O82:Q82 S82:U82 AA82:AC82 K82:M82 W82:Y82 W53:Y53 W63:Y63 O103:Q103 S103:U103 AA103:AC103 K103:M103 W103:Y103">
      <formula1>0</formula1>
      <formula2>0.5</formula2>
    </dataValidation>
    <dataValidation type="list" allowBlank="1" showInputMessage="1" showErrorMessage="1" sqref="S61:U61 K61:M61">
      <formula1>"Si,No"</formula1>
    </dataValidation>
    <dataValidation type="list" showInputMessage="1" showErrorMessage="1" sqref="Z39:AB39">
      <formula1>"Pesos,Dolares"</formula1>
    </dataValidation>
    <dataValidation type="list" allowBlank="1" showInputMessage="1" showErrorMessage="1" sqref="K64:M64 O64:Q64 S64:U64 AA64:AC64 W64:Y64">
      <formula1>"0,1,2"</formula1>
    </dataValidation>
    <dataValidation type="list" showInputMessage="1" showErrorMessage="1" sqref="Y21">
      <formula1>Cat_Moneda</formula1>
    </dataValidation>
    <dataValidation type="list" allowBlank="1" showInputMessage="1" showErrorMessage="1" sqref="J24:K24">
      <formula1>"No,3 años ,5 años"</formula1>
    </dataValidation>
    <dataValidation type="whole" allowBlank="1" showInputMessage="1" showErrorMessage="1" sqref="F26:F29">
      <formula1>0</formula1>
      <formula2>100</formula2>
    </dataValidation>
    <dataValidation operator="greaterThanOrEqual" allowBlank="1" showInputMessage="1" showErrorMessage="1" sqref="K26:L29"/>
  </dataValidations>
  <pageMargins left="0.47244094488188981" right="0.35433070866141736" top="0.19685039370078741" bottom="0.39370078740157483" header="0.51181102362204722" footer="0.51181102362204722"/>
  <pageSetup scale="66" orientation="portrait" horizontalDpi="300" verticalDpi="300" r:id="rId1"/>
  <headerFooter alignWithMargins="0">
    <oddHeader>&amp;L&amp;G</oddHeader>
  </headerFooter>
  <drawing r:id="rId2"/>
  <legacyDrawing r:id="rId3"/>
  <legacyDrawingHF r:id="rId4"/>
  <controls>
    <mc:AlternateContent xmlns:mc="http://schemas.openxmlformats.org/markup-compatibility/2006">
      <mc:Choice Requires="x14">
        <control shapeId="1040" r:id="rId5" name="CheckBox5">
          <controlPr defaultSize="0" autoLine="0" linkedCell="AC45" r:id="rId6">
            <anchor moveWithCells="1">
              <from>
                <xdr:col>28</xdr:col>
                <xdr:colOff>28575</xdr:colOff>
                <xdr:row>44</xdr:row>
                <xdr:rowOff>28575</xdr:rowOff>
              </from>
              <to>
                <xdr:col>28</xdr:col>
                <xdr:colOff>219075</xdr:colOff>
                <xdr:row>45</xdr:row>
                <xdr:rowOff>0</xdr:rowOff>
              </to>
            </anchor>
          </controlPr>
        </control>
      </mc:Choice>
      <mc:Fallback>
        <control shapeId="1040" r:id="rId5" name="CheckBox5"/>
      </mc:Fallback>
    </mc:AlternateContent>
    <mc:AlternateContent xmlns:mc="http://schemas.openxmlformats.org/markup-compatibility/2006">
      <mc:Choice Requires="x14">
        <control shapeId="1039" r:id="rId7" name="CheckBox4">
          <controlPr defaultSize="0" autoLine="0" linkedCell="Y45" r:id="rId8">
            <anchor moveWithCells="1">
              <from>
                <xdr:col>23</xdr:col>
                <xdr:colOff>0</xdr:colOff>
                <xdr:row>44</xdr:row>
                <xdr:rowOff>28575</xdr:rowOff>
              </from>
              <to>
                <xdr:col>23</xdr:col>
                <xdr:colOff>180975</xdr:colOff>
                <xdr:row>45</xdr:row>
                <xdr:rowOff>0</xdr:rowOff>
              </to>
            </anchor>
          </controlPr>
        </control>
      </mc:Choice>
      <mc:Fallback>
        <control shapeId="1039" r:id="rId7" name="CheckBox4"/>
      </mc:Fallback>
    </mc:AlternateContent>
    <mc:AlternateContent xmlns:mc="http://schemas.openxmlformats.org/markup-compatibility/2006">
      <mc:Choice Requires="x14">
        <control shapeId="1038" r:id="rId9" name="CheckBox3">
          <controlPr defaultSize="0" autoLine="0" linkedCell="U45" r:id="rId10">
            <anchor moveWithCells="1">
              <from>
                <xdr:col>20</xdr:col>
                <xdr:colOff>28575</xdr:colOff>
                <xdr:row>44</xdr:row>
                <xdr:rowOff>28575</xdr:rowOff>
              </from>
              <to>
                <xdr:col>20</xdr:col>
                <xdr:colOff>200025</xdr:colOff>
                <xdr:row>45</xdr:row>
                <xdr:rowOff>0</xdr:rowOff>
              </to>
            </anchor>
          </controlPr>
        </control>
      </mc:Choice>
      <mc:Fallback>
        <control shapeId="1038" r:id="rId9" name="CheckBox3"/>
      </mc:Fallback>
    </mc:AlternateContent>
    <mc:AlternateContent xmlns:mc="http://schemas.openxmlformats.org/markup-compatibility/2006">
      <mc:Choice Requires="x14">
        <control shapeId="1037" r:id="rId11" name="CheckBox2">
          <controlPr defaultSize="0" autoLine="0" linkedCell="Q45" r:id="rId8">
            <anchor moveWithCells="1">
              <from>
                <xdr:col>16</xdr:col>
                <xdr:colOff>28575</xdr:colOff>
                <xdr:row>44</xdr:row>
                <xdr:rowOff>28575</xdr:rowOff>
              </from>
              <to>
                <xdr:col>16</xdr:col>
                <xdr:colOff>209550</xdr:colOff>
                <xdr:row>45</xdr:row>
                <xdr:rowOff>0</xdr:rowOff>
              </to>
            </anchor>
          </controlPr>
        </control>
      </mc:Choice>
      <mc:Fallback>
        <control shapeId="1037" r:id="rId11" name="CheckBox2"/>
      </mc:Fallback>
    </mc:AlternateContent>
    <mc:AlternateContent xmlns:mc="http://schemas.openxmlformats.org/markup-compatibility/2006">
      <mc:Choice Requires="x14">
        <control shapeId="1036" r:id="rId12" name="CheckBox1">
          <controlPr defaultSize="0" autoLine="0" linkedCell="M45" r:id="rId13">
            <anchor moveWithCells="1">
              <from>
                <xdr:col>12</xdr:col>
                <xdr:colOff>104775</xdr:colOff>
                <xdr:row>44</xdr:row>
                <xdr:rowOff>0</xdr:rowOff>
              </from>
              <to>
                <xdr:col>14</xdr:col>
                <xdr:colOff>47625</xdr:colOff>
                <xdr:row>45</xdr:row>
                <xdr:rowOff>28575</xdr:rowOff>
              </to>
            </anchor>
          </controlPr>
        </control>
      </mc:Choice>
      <mc:Fallback>
        <control shapeId="1036" r:id="rId12" name="CheckBox1"/>
      </mc:Fallback>
    </mc:AlternateContent>
    <mc:AlternateContent xmlns:mc="http://schemas.openxmlformats.org/markup-compatibility/2006">
      <mc:Choice Requires="x14">
        <control shapeId="1053" r:id="rId14" name="Option Button 29">
          <controlPr defaultSize="0" autoFill="0" autoLine="0" autoPict="0">
            <anchor moveWithCells="1">
              <from>
                <xdr:col>31</xdr:col>
                <xdr:colOff>57150</xdr:colOff>
                <xdr:row>45</xdr:row>
                <xdr:rowOff>47625</xdr:rowOff>
              </from>
              <to>
                <xdr:col>32</xdr:col>
                <xdr:colOff>19050</xdr:colOff>
                <xdr:row>47</xdr:row>
                <xdr:rowOff>47625</xdr:rowOff>
              </to>
            </anchor>
          </controlPr>
        </control>
      </mc:Choice>
    </mc:AlternateContent>
    <mc:AlternateContent xmlns:mc="http://schemas.openxmlformats.org/markup-compatibility/2006">
      <mc:Choice Requires="x14">
        <control shapeId="1054" r:id="rId15" name="Option Button 30">
          <controlPr defaultSize="0" autoFill="0" autoLine="0" autoPict="0">
            <anchor moveWithCells="1">
              <from>
                <xdr:col>31</xdr:col>
                <xdr:colOff>47625</xdr:colOff>
                <xdr:row>47</xdr:row>
                <xdr:rowOff>9525</xdr:rowOff>
              </from>
              <to>
                <xdr:col>31</xdr:col>
                <xdr:colOff>295275</xdr:colOff>
                <xdr:row>49</xdr:row>
                <xdr:rowOff>9525</xdr:rowOff>
              </to>
            </anchor>
          </controlPr>
        </control>
      </mc:Choice>
    </mc:AlternateContent>
    <mc:AlternateContent xmlns:mc="http://schemas.openxmlformats.org/markup-compatibility/2006">
      <mc:Choice Requires="x14">
        <control shapeId="1055" r:id="rId16" name="Option Button 31">
          <controlPr defaultSize="0" autoFill="0" autoLine="0" autoPict="0">
            <anchor moveWithCells="1">
              <from>
                <xdr:col>31</xdr:col>
                <xdr:colOff>47625</xdr:colOff>
                <xdr:row>49</xdr:row>
                <xdr:rowOff>9525</xdr:rowOff>
              </from>
              <to>
                <xdr:col>32</xdr:col>
                <xdr:colOff>9525</xdr:colOff>
                <xdr:row>50</xdr:row>
                <xdr:rowOff>76200</xdr:rowOff>
              </to>
            </anchor>
          </controlPr>
        </control>
      </mc:Choice>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Catalogos!$G$29:$G$33</xm:f>
          </x14:formula1>
          <xm:sqref>G26:J29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XEW193"/>
  <sheetViews>
    <sheetView showGridLines="0" zoomScaleNormal="100" workbookViewId="0">
      <selection activeCell="N10" sqref="N10"/>
    </sheetView>
  </sheetViews>
  <sheetFormatPr baseColWidth="10" defaultColWidth="0" defaultRowHeight="12.75" customHeight="1" x14ac:dyDescent="0.2"/>
  <cols>
    <col min="1" max="1" width="1.140625" style="314" customWidth="1"/>
    <col min="2" max="3" width="2.5703125" style="240" customWidth="1"/>
    <col min="4" max="11" width="2.5703125" style="234" customWidth="1"/>
    <col min="12" max="13" width="3.42578125" style="234" customWidth="1"/>
    <col min="14" max="16" width="2.5703125" style="234" customWidth="1"/>
    <col min="17" max="17" width="3.85546875" style="234" customWidth="1"/>
    <col min="18" max="18" width="4.42578125" style="234" customWidth="1"/>
    <col min="19" max="19" width="3.5703125" style="234" customWidth="1"/>
    <col min="20" max="20" width="3.85546875" style="234" customWidth="1"/>
    <col min="21" max="23" width="2.5703125" style="234" customWidth="1"/>
    <col min="24" max="24" width="3.42578125" style="234" customWidth="1"/>
    <col min="25" max="25" width="2.5703125" style="234" customWidth="1"/>
    <col min="26" max="26" width="2" style="234" customWidth="1"/>
    <col min="27" max="27" width="2.140625" style="234" customWidth="1"/>
    <col min="28" max="28" width="4.85546875" style="234" customWidth="1"/>
    <col min="29" max="29" width="2.5703125" style="234" customWidth="1"/>
    <col min="30" max="30" width="4" style="234" customWidth="1"/>
    <col min="31" max="36" width="2.5703125" style="234" customWidth="1"/>
    <col min="37" max="37" width="2.5703125" style="240" customWidth="1"/>
    <col min="38" max="38" width="1.5703125" style="240" customWidth="1"/>
    <col min="39" max="39" width="9.140625" style="234" hidden="1"/>
    <col min="40" max="40" width="19" style="234" hidden="1"/>
    <col min="41" max="16377" width="9.140625" style="234" hidden="1"/>
    <col min="16378" max="16384" width="2.42578125" style="234" hidden="1"/>
  </cols>
  <sheetData>
    <row r="1" spans="1:49" ht="25.5" customHeight="1" thickBot="1" x14ac:dyDescent="0.25">
      <c r="A1" s="231"/>
      <c r="B1" s="629" t="s">
        <v>48</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1"/>
      <c r="AL1" s="232"/>
      <c r="AM1" s="233"/>
      <c r="AN1" s="233"/>
      <c r="AO1" s="233"/>
      <c r="AP1" s="233"/>
      <c r="AQ1" s="233"/>
      <c r="AR1" s="233"/>
      <c r="AS1" s="233"/>
      <c r="AT1" s="233"/>
      <c r="AU1" s="233"/>
      <c r="AV1" s="233"/>
      <c r="AW1" s="233"/>
    </row>
    <row r="2" spans="1:49" x14ac:dyDescent="0.2">
      <c r="A2" s="233"/>
      <c r="B2" s="235"/>
      <c r="C2" s="236"/>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6"/>
      <c r="AL2" s="233"/>
      <c r="AM2" s="233"/>
      <c r="AN2" s="233"/>
      <c r="AO2" s="233"/>
      <c r="AP2" s="233"/>
      <c r="AQ2" s="233"/>
      <c r="AR2" s="233"/>
      <c r="AS2" s="233"/>
      <c r="AT2" s="233"/>
      <c r="AU2" s="233"/>
      <c r="AV2" s="233"/>
      <c r="AW2" s="233"/>
    </row>
    <row r="3" spans="1:49" ht="12" customHeight="1" x14ac:dyDescent="0.2">
      <c r="A3" s="233"/>
      <c r="B3" s="236"/>
      <c r="C3" s="236"/>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6"/>
      <c r="AL3" s="233"/>
      <c r="AM3" s="233"/>
      <c r="AN3" s="233"/>
      <c r="AO3" s="233"/>
      <c r="AP3" s="233"/>
      <c r="AQ3" s="233"/>
      <c r="AR3" s="233"/>
      <c r="AS3" s="233"/>
      <c r="AT3" s="233"/>
      <c r="AU3" s="233"/>
      <c r="AV3" s="233"/>
      <c r="AW3" s="233"/>
    </row>
    <row r="4" spans="1:49" x14ac:dyDescent="0.2">
      <c r="A4" s="233"/>
      <c r="B4" s="236"/>
      <c r="C4" s="236"/>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6"/>
      <c r="AL4" s="233"/>
      <c r="AM4" s="233"/>
      <c r="AN4" s="233"/>
      <c r="AO4" s="233"/>
      <c r="AP4" s="233"/>
      <c r="AQ4" s="233"/>
      <c r="AR4" s="233"/>
      <c r="AS4" s="233"/>
      <c r="AT4" s="233"/>
      <c r="AU4" s="233"/>
      <c r="AV4" s="233"/>
      <c r="AW4" s="233"/>
    </row>
    <row r="5" spans="1:49" x14ac:dyDescent="0.2">
      <c r="A5" s="233"/>
      <c r="B5" s="236"/>
      <c r="C5" s="236"/>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6"/>
      <c r="AL5" s="233"/>
      <c r="AM5" s="233"/>
      <c r="AN5" s="233"/>
      <c r="AO5" s="233"/>
      <c r="AP5" s="233"/>
      <c r="AQ5" s="233"/>
      <c r="AR5" s="233"/>
      <c r="AS5" s="233"/>
      <c r="AT5" s="233"/>
      <c r="AU5" s="233"/>
      <c r="AV5" s="233"/>
      <c r="AW5" s="233"/>
    </row>
    <row r="6" spans="1:49" x14ac:dyDescent="0.2">
      <c r="A6" s="233"/>
      <c r="B6" s="238"/>
      <c r="C6" s="238"/>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8"/>
      <c r="AL6" s="233"/>
      <c r="AM6" s="233"/>
      <c r="AN6" s="233"/>
      <c r="AO6" s="233"/>
      <c r="AP6" s="233"/>
      <c r="AQ6" s="233"/>
      <c r="AR6" s="233"/>
      <c r="AS6" s="233"/>
      <c r="AT6" s="233"/>
      <c r="AU6" s="233"/>
      <c r="AV6" s="233"/>
      <c r="AW6" s="233"/>
    </row>
    <row r="7" spans="1:49" x14ac:dyDescent="0.2">
      <c r="A7" s="233"/>
      <c r="B7" s="238"/>
      <c r="M7" s="241"/>
      <c r="N7" s="241"/>
      <c r="O7" s="241"/>
      <c r="P7" s="241"/>
      <c r="Q7" s="241"/>
      <c r="R7" s="241"/>
      <c r="S7" s="241"/>
      <c r="T7" s="241"/>
      <c r="U7" s="241"/>
      <c r="V7" s="241"/>
      <c r="W7" s="241"/>
      <c r="X7" s="239"/>
      <c r="Y7" s="242"/>
      <c r="Z7" s="239"/>
      <c r="AK7" s="238"/>
      <c r="AL7" s="233"/>
      <c r="AM7" s="233"/>
      <c r="AN7" s="233"/>
      <c r="AO7" s="233"/>
      <c r="AP7" s="233"/>
      <c r="AQ7" s="233"/>
      <c r="AR7" s="233"/>
      <c r="AS7" s="233"/>
      <c r="AT7" s="233"/>
      <c r="AU7" s="233"/>
      <c r="AV7" s="233"/>
      <c r="AW7" s="233"/>
    </row>
    <row r="8" spans="1:49" x14ac:dyDescent="0.2">
      <c r="A8" s="233"/>
      <c r="B8" s="238"/>
      <c r="M8" s="239"/>
      <c r="N8" s="239"/>
      <c r="O8" s="239"/>
      <c r="P8" s="239"/>
      <c r="Q8" s="239"/>
      <c r="R8" s="239"/>
      <c r="S8" s="239"/>
      <c r="T8" s="239"/>
      <c r="U8" s="239"/>
      <c r="V8" s="239"/>
      <c r="W8" s="239"/>
      <c r="X8" s="239"/>
      <c r="Y8" s="608" t="str">
        <f>enterprise!$K$13</f>
        <v>Nombre del Ejecutivo</v>
      </c>
      <c r="Z8" s="608"/>
      <c r="AA8" s="608"/>
      <c r="AB8" s="608"/>
      <c r="AC8" s="608"/>
      <c r="AD8" s="608"/>
      <c r="AE8" s="608"/>
      <c r="AF8" s="608"/>
      <c r="AG8" s="608"/>
      <c r="AH8" s="608"/>
      <c r="AK8" s="238"/>
      <c r="AL8" s="233"/>
      <c r="AM8" s="233"/>
      <c r="AN8" s="233"/>
      <c r="AO8" s="233"/>
      <c r="AP8" s="233"/>
      <c r="AQ8" s="233"/>
      <c r="AR8" s="233"/>
      <c r="AS8" s="233"/>
      <c r="AT8" s="233"/>
      <c r="AU8" s="233"/>
      <c r="AV8" s="233"/>
      <c r="AW8" s="233"/>
    </row>
    <row r="9" spans="1:49" x14ac:dyDescent="0.2">
      <c r="A9" s="233"/>
      <c r="B9" s="238"/>
      <c r="M9" s="239"/>
      <c r="N9" s="239"/>
      <c r="Y9" s="609" t="str">
        <f>"Tel: " &amp; enterprise!$T$13</f>
        <v xml:space="preserve">Tel: </v>
      </c>
      <c r="Z9" s="609"/>
      <c r="AA9" s="609"/>
      <c r="AB9" s="609"/>
      <c r="AC9" s="609"/>
      <c r="AD9" s="609"/>
      <c r="AE9" s="609"/>
      <c r="AF9" s="609"/>
      <c r="AG9" s="609"/>
      <c r="AH9" s="609"/>
      <c r="AK9" s="238"/>
      <c r="AL9" s="233"/>
      <c r="AM9" s="233"/>
      <c r="AN9" s="233"/>
      <c r="AO9" s="233"/>
      <c r="AP9" s="233"/>
      <c r="AQ9" s="233"/>
      <c r="AR9" s="233"/>
      <c r="AS9" s="233"/>
      <c r="AT9" s="233"/>
      <c r="AU9" s="233"/>
      <c r="AV9" s="233"/>
      <c r="AW9" s="233"/>
    </row>
    <row r="10" spans="1:49" x14ac:dyDescent="0.2">
      <c r="A10" s="233"/>
      <c r="B10" s="238"/>
      <c r="C10" s="238"/>
      <c r="D10" s="239"/>
      <c r="E10" s="239"/>
      <c r="F10" s="239"/>
      <c r="G10" s="239"/>
      <c r="H10" s="239"/>
      <c r="I10" s="239"/>
      <c r="J10" s="239"/>
      <c r="K10" s="239"/>
      <c r="L10" s="239"/>
      <c r="M10" s="239"/>
      <c r="N10" s="239"/>
      <c r="Y10" s="609" t="str">
        <f>enterprise!$K$14</f>
        <v>Correo Electrónico</v>
      </c>
      <c r="Z10" s="609"/>
      <c r="AA10" s="609"/>
      <c r="AB10" s="609"/>
      <c r="AC10" s="609"/>
      <c r="AD10" s="609"/>
      <c r="AE10" s="609"/>
      <c r="AF10" s="609"/>
      <c r="AG10" s="609"/>
      <c r="AH10" s="609"/>
      <c r="AI10" s="243"/>
      <c r="AJ10" s="243"/>
      <c r="AK10" s="238"/>
      <c r="AL10" s="233"/>
      <c r="AM10" s="233"/>
      <c r="AN10" s="233"/>
      <c r="AO10" s="233"/>
      <c r="AP10" s="233"/>
      <c r="AQ10" s="233"/>
      <c r="AR10" s="233"/>
      <c r="AS10" s="233"/>
      <c r="AT10" s="233"/>
      <c r="AU10" s="233"/>
      <c r="AV10" s="233"/>
      <c r="AW10" s="233"/>
    </row>
    <row r="11" spans="1:49" ht="13.5" customHeight="1" x14ac:dyDescent="0.2">
      <c r="A11" s="233"/>
      <c r="B11" s="238"/>
      <c r="C11" s="238"/>
      <c r="D11" s="239"/>
      <c r="E11" s="239"/>
      <c r="F11" s="239"/>
      <c r="G11" s="239"/>
      <c r="H11" s="239"/>
      <c r="I11" s="239"/>
      <c r="J11" s="239"/>
      <c r="K11" s="239"/>
      <c r="L11" s="239"/>
      <c r="M11" s="239"/>
      <c r="AI11" s="237"/>
      <c r="AJ11" s="237"/>
      <c r="AK11" s="238"/>
      <c r="AL11" s="233"/>
      <c r="AM11" s="233"/>
      <c r="AN11" s="233"/>
      <c r="AO11" s="233"/>
      <c r="AP11" s="233"/>
      <c r="AQ11" s="233"/>
      <c r="AR11" s="233"/>
      <c r="AS11" s="233"/>
      <c r="AT11" s="233"/>
      <c r="AU11" s="233"/>
      <c r="AV11" s="233"/>
      <c r="AW11" s="233"/>
    </row>
    <row r="12" spans="1:49" ht="12.75" customHeight="1" x14ac:dyDescent="0.2">
      <c r="A12" s="233"/>
      <c r="B12" s="238"/>
      <c r="C12" s="238"/>
      <c r="D12" s="239"/>
      <c r="E12" s="239"/>
      <c r="F12" s="239"/>
      <c r="G12" s="239"/>
      <c r="H12" s="239"/>
      <c r="I12" s="239"/>
      <c r="J12" s="239"/>
      <c r="K12" s="239"/>
      <c r="L12" s="239"/>
      <c r="M12" s="239"/>
      <c r="X12" s="239"/>
      <c r="Y12" s="239"/>
      <c r="Z12" s="239"/>
      <c r="AA12" s="239"/>
      <c r="AB12" s="239"/>
      <c r="AC12" s="239"/>
      <c r="AD12" s="239"/>
      <c r="AE12" s="239"/>
      <c r="AF12" s="239"/>
      <c r="AG12" s="239"/>
      <c r="AH12" s="239"/>
      <c r="AI12" s="239"/>
      <c r="AJ12" s="239"/>
      <c r="AK12" s="238"/>
      <c r="AL12" s="233"/>
      <c r="AM12" s="233"/>
      <c r="AN12" s="244"/>
      <c r="AO12" s="233"/>
      <c r="AP12" s="233"/>
      <c r="AQ12" s="233"/>
      <c r="AR12" s="233"/>
      <c r="AS12" s="233"/>
      <c r="AT12" s="233"/>
      <c r="AU12" s="233"/>
      <c r="AV12" s="233"/>
      <c r="AW12" s="233"/>
    </row>
    <row r="13" spans="1:49" x14ac:dyDescent="0.2">
      <c r="A13" s="233"/>
      <c r="B13" s="238"/>
      <c r="C13" s="238"/>
      <c r="D13" s="239"/>
      <c r="E13" s="239"/>
      <c r="F13" s="239"/>
      <c r="G13" s="239"/>
      <c r="H13" s="239"/>
      <c r="I13" s="239"/>
      <c r="J13" s="239"/>
      <c r="K13" s="239"/>
      <c r="L13" s="239"/>
      <c r="M13" s="239"/>
      <c r="X13" s="239"/>
      <c r="Y13" s="239"/>
      <c r="Z13" s="239"/>
      <c r="AA13" s="680">
        <f ca="1">NOW()</f>
        <v>44243.507407291669</v>
      </c>
      <c r="AB13" s="680"/>
      <c r="AC13" s="680"/>
      <c r="AD13" s="680"/>
      <c r="AE13" s="680"/>
      <c r="AF13" s="680"/>
      <c r="AG13" s="680"/>
      <c r="AH13" s="680"/>
      <c r="AI13" s="680"/>
      <c r="AJ13" s="680"/>
      <c r="AK13" s="238"/>
      <c r="AL13" s="233"/>
      <c r="AM13" s="233"/>
      <c r="AN13" s="233"/>
      <c r="AO13" s="233"/>
      <c r="AP13" s="233"/>
      <c r="AQ13" s="233"/>
      <c r="AR13" s="233"/>
      <c r="AS13" s="233"/>
      <c r="AT13" s="233"/>
      <c r="AU13" s="233"/>
      <c r="AV13" s="233"/>
      <c r="AW13" s="233"/>
    </row>
    <row r="14" spans="1:49" x14ac:dyDescent="0.2">
      <c r="A14" s="233"/>
      <c r="B14" s="238"/>
      <c r="C14" s="245" t="s">
        <v>9</v>
      </c>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8"/>
      <c r="AL14" s="233"/>
      <c r="AM14" s="233"/>
      <c r="AN14" s="233"/>
      <c r="AO14" s="233"/>
      <c r="AP14" s="233"/>
      <c r="AQ14" s="233"/>
      <c r="AR14" s="233"/>
      <c r="AS14" s="233"/>
      <c r="AT14" s="233"/>
      <c r="AU14" s="233"/>
      <c r="AV14" s="233"/>
      <c r="AW14" s="233"/>
    </row>
    <row r="15" spans="1:49" x14ac:dyDescent="0.2">
      <c r="A15" s="233"/>
      <c r="B15" s="238"/>
      <c r="C15" s="246" t="str">
        <f>Field_Contacto</f>
        <v>Nombre del contacto</v>
      </c>
      <c r="D15" s="247"/>
      <c r="E15" s="247"/>
      <c r="F15" s="247"/>
      <c r="G15" s="247"/>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8"/>
      <c r="AL15" s="233"/>
      <c r="AM15" s="233"/>
      <c r="AN15" s="233"/>
      <c r="AO15" s="233"/>
      <c r="AP15" s="233"/>
      <c r="AQ15" s="233"/>
      <c r="AR15" s="233"/>
      <c r="AS15" s="233"/>
      <c r="AT15" s="233"/>
      <c r="AU15" s="233"/>
      <c r="AV15" s="233"/>
      <c r="AW15" s="233"/>
    </row>
    <row r="16" spans="1:49" x14ac:dyDescent="0.2">
      <c r="A16" s="233"/>
      <c r="B16" s="238"/>
      <c r="C16" s="238"/>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8"/>
      <c r="AL16" s="233"/>
      <c r="AM16" s="233"/>
      <c r="AN16" s="233"/>
      <c r="AO16" s="233"/>
      <c r="AP16" s="233"/>
      <c r="AQ16" s="233"/>
      <c r="AR16" s="233"/>
      <c r="AS16" s="233"/>
      <c r="AT16" s="233"/>
      <c r="AU16" s="233"/>
      <c r="AV16" s="233"/>
      <c r="AW16" s="233"/>
    </row>
    <row r="17" spans="1:49" ht="12.75" customHeight="1" x14ac:dyDescent="0.2">
      <c r="A17" s="233"/>
      <c r="B17" s="238"/>
      <c r="C17" s="238" t="s">
        <v>243</v>
      </c>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8"/>
      <c r="AL17" s="233"/>
      <c r="AM17" s="233"/>
      <c r="AN17" s="233"/>
      <c r="AO17" s="233"/>
      <c r="AP17" s="233"/>
      <c r="AQ17" s="233"/>
      <c r="AR17" s="233"/>
      <c r="AS17" s="233"/>
      <c r="AT17" s="233"/>
      <c r="AU17" s="233"/>
      <c r="AV17" s="233"/>
      <c r="AW17" s="233"/>
    </row>
    <row r="18" spans="1:49" ht="12.75" customHeight="1" x14ac:dyDescent="0.2">
      <c r="A18" s="233"/>
      <c r="B18" s="238"/>
      <c r="C18" s="238" t="s">
        <v>244</v>
      </c>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8"/>
      <c r="AL18" s="233"/>
      <c r="AM18" s="233"/>
      <c r="AN18" s="233"/>
      <c r="AO18" s="233"/>
      <c r="AP18" s="233"/>
      <c r="AQ18" s="233"/>
      <c r="AR18" s="233"/>
      <c r="AS18" s="233"/>
      <c r="AT18" s="233"/>
      <c r="AU18" s="233"/>
      <c r="AV18" s="233"/>
      <c r="AW18" s="233"/>
    </row>
    <row r="19" spans="1:49" ht="12.75" customHeight="1" x14ac:dyDescent="0.2">
      <c r="A19" s="233"/>
      <c r="B19" s="238"/>
      <c r="C19" s="238"/>
      <c r="D19" s="239"/>
      <c r="E19" s="239"/>
      <c r="F19" s="239"/>
      <c r="G19" s="239"/>
      <c r="H19" s="239"/>
      <c r="I19" s="239"/>
      <c r="J19" s="239"/>
      <c r="K19" s="239"/>
      <c r="L19" s="239"/>
      <c r="M19" s="239"/>
      <c r="N19" s="239"/>
      <c r="O19" s="239"/>
      <c r="P19" s="239"/>
      <c r="Q19" s="237"/>
      <c r="R19" s="237"/>
      <c r="S19" s="237"/>
      <c r="T19" s="237"/>
      <c r="U19" s="237"/>
      <c r="V19" s="237"/>
      <c r="W19" s="237"/>
      <c r="X19" s="237"/>
      <c r="Y19" s="237"/>
      <c r="Z19" s="237"/>
      <c r="AA19" s="237"/>
      <c r="AB19" s="237"/>
      <c r="AC19" s="237"/>
      <c r="AD19" s="237"/>
      <c r="AE19" s="237"/>
      <c r="AF19" s="237"/>
      <c r="AG19" s="237"/>
      <c r="AH19" s="239"/>
      <c r="AI19" s="239"/>
      <c r="AJ19" s="239"/>
      <c r="AK19" s="238"/>
      <c r="AL19" s="233"/>
      <c r="AM19" s="233"/>
      <c r="AN19" s="233"/>
      <c r="AO19" s="233"/>
      <c r="AP19" s="233"/>
      <c r="AQ19" s="233"/>
      <c r="AR19" s="233"/>
      <c r="AS19" s="233"/>
      <c r="AT19" s="233"/>
      <c r="AU19" s="233"/>
      <c r="AV19" s="233"/>
      <c r="AW19" s="233"/>
    </row>
    <row r="20" spans="1:49" s="251" customFormat="1" ht="12.75" customHeight="1" x14ac:dyDescent="0.15">
      <c r="A20" s="248"/>
      <c r="B20" s="249"/>
      <c r="C20" s="249"/>
      <c r="D20" s="250" t="s">
        <v>12</v>
      </c>
      <c r="F20" s="252"/>
      <c r="G20" s="252"/>
      <c r="H20" s="252"/>
      <c r="I20" s="252"/>
      <c r="J20" s="252"/>
      <c r="K20" s="252"/>
      <c r="L20" s="252"/>
      <c r="M20" s="252"/>
      <c r="N20" s="252"/>
      <c r="O20" s="252"/>
      <c r="P20" s="252"/>
      <c r="Q20" s="681" t="str">
        <f>Field_Cliente</f>
        <v>Nombre del Cliente</v>
      </c>
      <c r="R20" s="682"/>
      <c r="S20" s="682"/>
      <c r="T20" s="682"/>
      <c r="U20" s="682"/>
      <c r="V20" s="682"/>
      <c r="W20" s="682"/>
      <c r="X20" s="682"/>
      <c r="Y20" s="682"/>
      <c r="Z20" s="682"/>
      <c r="AA20" s="682"/>
      <c r="AB20" s="682"/>
      <c r="AC20" s="682"/>
      <c r="AD20" s="682"/>
      <c r="AE20" s="682"/>
      <c r="AF20" s="682"/>
      <c r="AG20" s="682"/>
      <c r="AH20" s="252"/>
      <c r="AI20" s="252"/>
      <c r="AJ20" s="252"/>
      <c r="AK20" s="249"/>
      <c r="AL20" s="248"/>
      <c r="AM20" s="248"/>
      <c r="AN20" s="248"/>
      <c r="AO20" s="248"/>
      <c r="AP20" s="248"/>
      <c r="AQ20" s="248"/>
      <c r="AR20" s="248"/>
      <c r="AS20" s="248"/>
      <c r="AT20" s="248"/>
      <c r="AU20" s="248"/>
      <c r="AV20" s="248"/>
      <c r="AW20" s="248"/>
    </row>
    <row r="21" spans="1:49" s="251" customFormat="1" ht="12.75" customHeight="1" x14ac:dyDescent="0.15">
      <c r="A21" s="248"/>
      <c r="B21" s="249"/>
      <c r="C21" s="249"/>
      <c r="D21" s="252"/>
      <c r="E21" s="252" t="s">
        <v>13</v>
      </c>
      <c r="F21" s="252"/>
      <c r="G21" s="252"/>
      <c r="H21" s="252"/>
      <c r="I21" s="252"/>
      <c r="J21" s="252"/>
      <c r="K21" s="252"/>
      <c r="L21" s="252"/>
      <c r="M21" s="252"/>
      <c r="N21" s="252"/>
      <c r="O21" s="252"/>
      <c r="P21" s="252"/>
      <c r="Q21" s="681" t="str">
        <f>Field_ProductoPuro</f>
        <v>Arrendamiento Puro</v>
      </c>
      <c r="R21" s="682"/>
      <c r="S21" s="682"/>
      <c r="T21" s="682"/>
      <c r="U21" s="682"/>
      <c r="V21" s="682"/>
      <c r="W21" s="682"/>
      <c r="X21" s="682"/>
      <c r="Y21" s="682"/>
      <c r="Z21" s="253" t="str">
        <f>+IF(LEFT(Field_Moneda,3)="PES","MONEDA NACIONAL","DOLARES AMERICANOS")</f>
        <v>MONEDA NACIONAL</v>
      </c>
      <c r="AA21" s="250"/>
      <c r="AB21" s="254"/>
      <c r="AC21" s="254"/>
      <c r="AD21" s="252"/>
      <c r="AE21" s="254"/>
      <c r="AF21" s="254"/>
      <c r="AG21" s="254"/>
      <c r="AH21" s="254"/>
      <c r="AI21" s="252"/>
      <c r="AJ21" s="252"/>
      <c r="AK21" s="249"/>
      <c r="AL21" s="248"/>
      <c r="AM21" s="248"/>
      <c r="AN21" s="248"/>
      <c r="AO21" s="248"/>
      <c r="AP21" s="248"/>
      <c r="AQ21" s="248"/>
      <c r="AR21" s="248"/>
      <c r="AS21" s="248"/>
      <c r="AT21" s="248"/>
      <c r="AU21" s="248"/>
      <c r="AV21" s="248"/>
      <c r="AW21" s="248"/>
    </row>
    <row r="22" spans="1:49" s="251" customFormat="1" ht="12.75" customHeight="1" x14ac:dyDescent="0.15">
      <c r="A22" s="248"/>
      <c r="B22" s="249"/>
      <c r="C22" s="249"/>
      <c r="D22" s="252"/>
      <c r="E22" s="252" t="s">
        <v>21</v>
      </c>
      <c r="F22" s="252"/>
      <c r="G22" s="252"/>
      <c r="H22" s="252"/>
      <c r="I22" s="252"/>
      <c r="J22" s="252"/>
      <c r="K22" s="252"/>
      <c r="L22" s="252"/>
      <c r="M22" s="252"/>
      <c r="N22" s="252"/>
      <c r="O22" s="252"/>
      <c r="P22" s="252"/>
      <c r="Q22" s="681" t="str">
        <f>Field_TipoEquipo</f>
        <v xml:space="preserve">Equipo de Transporte </v>
      </c>
      <c r="R22" s="682"/>
      <c r="S22" s="682"/>
      <c r="T22" s="682"/>
      <c r="U22" s="682"/>
      <c r="V22" s="682"/>
      <c r="W22" s="682"/>
      <c r="X22" s="682"/>
      <c r="Y22" s="682"/>
      <c r="Z22" s="682"/>
      <c r="AA22" s="682"/>
      <c r="AB22" s="682"/>
      <c r="AC22" s="682"/>
      <c r="AD22" s="682"/>
      <c r="AE22" s="682"/>
      <c r="AF22" s="682"/>
      <c r="AG22" s="682"/>
      <c r="AH22" s="252"/>
      <c r="AI22" s="252"/>
      <c r="AJ22" s="252"/>
      <c r="AK22" s="249"/>
      <c r="AL22" s="248"/>
      <c r="AM22" s="248"/>
      <c r="AN22" s="248"/>
      <c r="AO22" s="248"/>
      <c r="AP22" s="248"/>
      <c r="AQ22" s="248"/>
      <c r="AR22" s="248"/>
      <c r="AS22" s="248"/>
      <c r="AT22" s="248"/>
      <c r="AU22" s="248"/>
      <c r="AV22" s="248"/>
      <c r="AW22" s="248"/>
    </row>
    <row r="23" spans="1:49" s="251" customFormat="1" ht="12.75" customHeight="1" x14ac:dyDescent="0.15">
      <c r="A23" s="248"/>
      <c r="B23" s="249"/>
      <c r="C23" s="249"/>
      <c r="D23" s="252"/>
      <c r="E23" s="252" t="s">
        <v>14</v>
      </c>
      <c r="F23" s="252"/>
      <c r="G23" s="252"/>
      <c r="H23" s="252"/>
      <c r="I23" s="252"/>
      <c r="J23" s="252"/>
      <c r="K23" s="252"/>
      <c r="L23" s="252"/>
      <c r="M23" s="252"/>
      <c r="N23" s="252"/>
      <c r="O23" s="252"/>
      <c r="P23" s="252"/>
      <c r="Q23" s="684">
        <f>Field_EquipoMontoTotal</f>
        <v>2740420.6896551726</v>
      </c>
      <c r="R23" s="684"/>
      <c r="S23" s="684"/>
      <c r="T23" s="684"/>
      <c r="U23" s="684"/>
      <c r="V23" s="684"/>
      <c r="W23" s="255"/>
      <c r="X23" s="256" t="s">
        <v>17</v>
      </c>
      <c r="Y23" s="255"/>
      <c r="Z23" s="255"/>
      <c r="AA23" s="255"/>
      <c r="AB23" s="255"/>
      <c r="AC23" s="255"/>
      <c r="AD23" s="255"/>
      <c r="AE23" s="255"/>
      <c r="AF23" s="255"/>
      <c r="AG23" s="255"/>
      <c r="AH23" s="252"/>
      <c r="AI23" s="252"/>
      <c r="AJ23" s="252"/>
      <c r="AK23" s="249"/>
      <c r="AL23" s="248"/>
      <c r="AM23" s="248"/>
      <c r="AN23" s="248"/>
      <c r="AO23" s="248"/>
      <c r="AP23" s="248"/>
      <c r="AQ23" s="248"/>
      <c r="AR23" s="248"/>
      <c r="AS23" s="248"/>
      <c r="AT23" s="248"/>
      <c r="AU23" s="248"/>
      <c r="AV23" s="248"/>
      <c r="AW23" s="248"/>
    </row>
    <row r="24" spans="1:49" s="251" customFormat="1" ht="12.75" customHeight="1" x14ac:dyDescent="0.15">
      <c r="A24" s="248"/>
      <c r="B24" s="249"/>
      <c r="C24" s="249"/>
      <c r="D24" s="252"/>
      <c r="E24" s="252" t="s">
        <v>26</v>
      </c>
      <c r="F24" s="252"/>
      <c r="G24" s="252"/>
      <c r="H24" s="252"/>
      <c r="I24" s="252"/>
      <c r="J24" s="252"/>
      <c r="K24" s="252"/>
      <c r="L24" s="252"/>
      <c r="M24" s="252"/>
      <c r="N24" s="252"/>
      <c r="O24" s="252"/>
      <c r="P24" s="252"/>
      <c r="Q24" s="684">
        <f>Field_EquipoMontoTotal_masIVA</f>
        <v>3178888</v>
      </c>
      <c r="R24" s="684"/>
      <c r="S24" s="684"/>
      <c r="T24" s="684"/>
      <c r="U24" s="684"/>
      <c r="V24" s="684"/>
      <c r="W24" s="255"/>
      <c r="X24" s="256"/>
      <c r="Y24" s="255"/>
      <c r="Z24" s="255"/>
      <c r="AA24" s="255"/>
      <c r="AB24" s="255"/>
      <c r="AC24" s="255"/>
      <c r="AD24" s="255"/>
      <c r="AE24" s="255"/>
      <c r="AF24" s="255"/>
      <c r="AG24" s="255"/>
      <c r="AH24" s="252"/>
      <c r="AI24" s="252"/>
      <c r="AJ24" s="252"/>
      <c r="AK24" s="249"/>
      <c r="AL24" s="248"/>
      <c r="AM24" s="248"/>
      <c r="AN24" s="248"/>
      <c r="AO24" s="248"/>
      <c r="AP24" s="248"/>
      <c r="AQ24" s="248"/>
      <c r="AR24" s="248"/>
      <c r="AS24" s="248"/>
      <c r="AT24" s="248"/>
      <c r="AU24" s="248"/>
      <c r="AV24" s="248"/>
      <c r="AW24" s="248"/>
    </row>
    <row r="25" spans="1:49" s="251" customFormat="1" ht="12" customHeight="1" x14ac:dyDescent="0.15">
      <c r="A25" s="248"/>
      <c r="B25" s="249"/>
      <c r="C25" s="249"/>
      <c r="D25" s="252"/>
      <c r="E25" s="252" t="s">
        <v>15</v>
      </c>
      <c r="F25" s="252"/>
      <c r="G25" s="252"/>
      <c r="H25" s="252"/>
      <c r="I25" s="252"/>
      <c r="J25" s="252"/>
      <c r="K25" s="252"/>
      <c r="L25" s="252"/>
      <c r="M25" s="252"/>
      <c r="N25" s="252"/>
      <c r="O25" s="252"/>
      <c r="P25" s="252"/>
      <c r="Q25" s="685" t="s">
        <v>245</v>
      </c>
      <c r="R25" s="685"/>
      <c r="S25" s="685"/>
      <c r="T25" s="685"/>
      <c r="U25" s="685"/>
      <c r="V25" s="685"/>
      <c r="W25" s="685"/>
      <c r="X25" s="685"/>
      <c r="Y25" s="685"/>
      <c r="Z25" s="685"/>
      <c r="AA25" s="685"/>
      <c r="AB25" s="685"/>
      <c r="AC25" s="685"/>
      <c r="AD25" s="685"/>
      <c r="AE25" s="685"/>
      <c r="AF25" s="685"/>
      <c r="AG25" s="685"/>
      <c r="AH25" s="252"/>
      <c r="AI25" s="252"/>
      <c r="AJ25" s="252"/>
      <c r="AK25" s="249"/>
      <c r="AL25" s="248"/>
      <c r="AM25" s="248"/>
      <c r="AN25" s="248"/>
      <c r="AO25" s="248"/>
      <c r="AP25" s="248"/>
      <c r="AQ25" s="248"/>
      <c r="AR25" s="248"/>
      <c r="AS25" s="248"/>
      <c r="AT25" s="248"/>
      <c r="AU25" s="248"/>
      <c r="AV25" s="248"/>
      <c r="AW25" s="248"/>
    </row>
    <row r="26" spans="1:49" ht="12.75" customHeight="1" x14ac:dyDescent="0.2">
      <c r="A26" s="233"/>
      <c r="B26" s="238"/>
      <c r="C26" s="238"/>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8"/>
      <c r="AL26" s="233"/>
      <c r="AM26" s="233"/>
      <c r="AN26" s="244"/>
      <c r="AO26" s="233"/>
      <c r="AP26" s="233"/>
      <c r="AQ26" s="233"/>
      <c r="AR26" s="233"/>
      <c r="AS26" s="233"/>
      <c r="AT26" s="233"/>
      <c r="AU26" s="233"/>
      <c r="AV26" s="233"/>
      <c r="AW26" s="233"/>
    </row>
    <row r="27" spans="1:49" ht="12.75" customHeight="1" x14ac:dyDescent="0.2">
      <c r="A27" s="233"/>
      <c r="B27" s="238"/>
      <c r="C27" s="238"/>
      <c r="D27" s="477" t="str">
        <f>"Equipo Cotizado en "&amp;+IF(LEFT(Field_MonEq,3)="PES","Moneda Nacional","Dólares Americanos")</f>
        <v>Equipo Cotizado en Moneda Nacional</v>
      </c>
      <c r="E27" s="239"/>
      <c r="F27" s="239"/>
      <c r="G27" s="239"/>
      <c r="H27" s="239"/>
      <c r="I27" s="239"/>
      <c r="J27" s="239"/>
      <c r="K27" s="239"/>
      <c r="L27" s="239"/>
      <c r="M27" s="239"/>
      <c r="N27" s="239"/>
      <c r="O27" s="239"/>
      <c r="P27" s="239"/>
      <c r="Q27" s="239"/>
      <c r="T27" s="239"/>
      <c r="U27" s="239"/>
      <c r="V27" s="239"/>
      <c r="W27" s="239"/>
      <c r="X27" s="239"/>
      <c r="Y27" s="239"/>
      <c r="Z27" s="239"/>
      <c r="AA27" s="239"/>
      <c r="AB27" s="478" t="str">
        <f t="shared" ref="AB27:AB32" si="0">IF(LEFT(Field_MonEq,3)="PES","","Tipo de Cambio")</f>
        <v/>
      </c>
      <c r="AC27" s="239"/>
      <c r="AD27" s="239"/>
      <c r="AE27" s="239"/>
      <c r="AF27" s="624" t="str">
        <f>IF(LEFT(Field_MonEq,3)="PES","",Field_TC)</f>
        <v/>
      </c>
      <c r="AG27" s="624"/>
      <c r="AH27" s="624"/>
      <c r="AI27" s="239"/>
      <c r="AJ27" s="239"/>
      <c r="AK27" s="238"/>
      <c r="AL27" s="233"/>
      <c r="AM27" s="233"/>
      <c r="AN27" s="244"/>
      <c r="AO27" s="233"/>
      <c r="AP27" s="233"/>
      <c r="AQ27" s="233"/>
      <c r="AR27" s="233"/>
      <c r="AS27" s="233"/>
      <c r="AT27" s="233"/>
      <c r="AU27" s="233"/>
      <c r="AV27" s="233"/>
      <c r="AW27" s="233"/>
    </row>
    <row r="28" spans="1:49" s="475" customFormat="1" ht="12.75" customHeight="1" x14ac:dyDescent="0.2">
      <c r="A28" s="472"/>
      <c r="B28" s="473"/>
      <c r="C28" s="473"/>
      <c r="D28" s="614" t="s">
        <v>292</v>
      </c>
      <c r="E28" s="615"/>
      <c r="F28" s="615"/>
      <c r="G28" s="614" t="s">
        <v>54</v>
      </c>
      <c r="H28" s="615"/>
      <c r="I28" s="615"/>
      <c r="J28" s="615"/>
      <c r="K28" s="615"/>
      <c r="L28" s="615"/>
      <c r="M28" s="615"/>
      <c r="N28" s="615"/>
      <c r="O28" s="705"/>
      <c r="P28" s="614" t="s">
        <v>293</v>
      </c>
      <c r="Q28" s="615"/>
      <c r="R28" s="615"/>
      <c r="S28" s="615"/>
      <c r="T28" s="614" t="s">
        <v>294</v>
      </c>
      <c r="U28" s="615"/>
      <c r="V28" s="615"/>
      <c r="W28" s="615"/>
      <c r="X28" s="615"/>
      <c r="Y28" s="615"/>
      <c r="Z28" s="239"/>
      <c r="AA28" s="239"/>
      <c r="AB28" s="478" t="str">
        <f t="shared" si="0"/>
        <v/>
      </c>
      <c r="AI28" s="474"/>
      <c r="AJ28" s="474"/>
      <c r="AK28" s="473"/>
      <c r="AL28" s="472"/>
      <c r="AM28" s="472"/>
      <c r="AN28" s="472"/>
      <c r="AO28" s="472"/>
      <c r="AP28" s="472"/>
      <c r="AQ28" s="472"/>
      <c r="AR28" s="472"/>
      <c r="AS28" s="472"/>
      <c r="AT28" s="472"/>
      <c r="AU28" s="472"/>
      <c r="AV28" s="472"/>
      <c r="AW28" s="472"/>
    </row>
    <row r="29" spans="1:49" ht="12.75" customHeight="1" x14ac:dyDescent="0.2">
      <c r="A29" s="233"/>
      <c r="B29" s="238"/>
      <c r="C29" s="238"/>
      <c r="D29" s="616">
        <f>enterprise!$F$26</f>
        <v>2</v>
      </c>
      <c r="E29" s="617"/>
      <c r="F29" s="617"/>
      <c r="G29" s="706" t="str">
        <f>IF(enterprise!G26 &lt;&gt;"",enterprise!$G$26,"")</f>
        <v>H500BC Bus Carrozado</v>
      </c>
      <c r="H29" s="707"/>
      <c r="I29" s="707"/>
      <c r="J29" s="707"/>
      <c r="K29" s="707"/>
      <c r="L29" s="707"/>
      <c r="M29" s="707"/>
      <c r="N29" s="707"/>
      <c r="O29" s="708"/>
      <c r="P29" s="637">
        <f>enterprise!$K$26</f>
        <v>991379.31034482771</v>
      </c>
      <c r="Q29" s="637"/>
      <c r="R29" s="637"/>
      <c r="S29" s="637"/>
      <c r="T29" s="637">
        <f>enterprise!$M$26</f>
        <v>1982758.6206896554</v>
      </c>
      <c r="U29" s="637"/>
      <c r="V29" s="637"/>
      <c r="W29" s="637"/>
      <c r="X29" s="637"/>
      <c r="Y29" s="709"/>
      <c r="Z29" s="239"/>
      <c r="AA29" s="239"/>
      <c r="AB29" s="478" t="str">
        <f t="shared" si="0"/>
        <v/>
      </c>
      <c r="AI29" s="239"/>
      <c r="AJ29" s="239"/>
      <c r="AK29" s="238"/>
      <c r="AL29" s="233"/>
      <c r="AM29" s="233"/>
      <c r="AN29" s="244"/>
      <c r="AO29" s="233"/>
      <c r="AP29" s="233"/>
      <c r="AQ29" s="233"/>
      <c r="AR29" s="233"/>
      <c r="AS29" s="233"/>
      <c r="AT29" s="233"/>
      <c r="AU29" s="233"/>
      <c r="AV29" s="233"/>
      <c r="AW29" s="233"/>
    </row>
    <row r="30" spans="1:49" ht="12.75" customHeight="1" x14ac:dyDescent="0.2">
      <c r="A30" s="233"/>
      <c r="B30" s="238"/>
      <c r="C30" s="238"/>
      <c r="D30" s="611">
        <f>enterprise!$F$27</f>
        <v>1</v>
      </c>
      <c r="E30" s="612"/>
      <c r="F30" s="613"/>
      <c r="G30" s="686" t="str">
        <f>IF(enterprise!G27 &lt;&gt;"",enterprise!$G$27,"")</f>
        <v>Ex6 Chasis Cabina</v>
      </c>
      <c r="H30" s="686"/>
      <c r="I30" s="686"/>
      <c r="J30" s="686"/>
      <c r="K30" s="686"/>
      <c r="L30" s="686"/>
      <c r="M30" s="686"/>
      <c r="N30" s="686"/>
      <c r="O30" s="686"/>
      <c r="P30" s="635">
        <f>enterprise!$K$27</f>
        <v>757662.06896551733</v>
      </c>
      <c r="Q30" s="636"/>
      <c r="R30" s="636"/>
      <c r="S30" s="636"/>
      <c r="T30" s="636">
        <f>enterprise!$M$27</f>
        <v>757662.06896551733</v>
      </c>
      <c r="U30" s="636"/>
      <c r="V30" s="636"/>
      <c r="W30" s="636"/>
      <c r="X30" s="636"/>
      <c r="Y30" s="638"/>
      <c r="Z30" s="239"/>
      <c r="AA30" s="239"/>
      <c r="AB30" s="478" t="str">
        <f t="shared" si="0"/>
        <v/>
      </c>
      <c r="AI30" s="239"/>
      <c r="AJ30" s="239"/>
      <c r="AK30" s="238"/>
      <c r="AL30" s="233"/>
      <c r="AM30" s="233"/>
      <c r="AN30" s="244"/>
      <c r="AO30" s="233"/>
      <c r="AP30" s="233"/>
      <c r="AQ30" s="233"/>
      <c r="AR30" s="233"/>
      <c r="AS30" s="233"/>
      <c r="AT30" s="233"/>
      <c r="AU30" s="233"/>
      <c r="AV30" s="233"/>
      <c r="AW30" s="233"/>
    </row>
    <row r="31" spans="1:49" ht="12.75" customHeight="1" x14ac:dyDescent="0.2">
      <c r="A31" s="233"/>
      <c r="B31" s="238"/>
      <c r="C31" s="238"/>
      <c r="D31" s="611">
        <f>enterprise!$F$28</f>
        <v>0</v>
      </c>
      <c r="E31" s="612"/>
      <c r="F31" s="613"/>
      <c r="G31" s="686" t="str">
        <f>IF(enterprise!G28 &lt;&gt;"",enterprise!$G$28,"")</f>
        <v/>
      </c>
      <c r="H31" s="686"/>
      <c r="I31" s="686"/>
      <c r="J31" s="686"/>
      <c r="K31" s="686"/>
      <c r="L31" s="686"/>
      <c r="M31" s="686"/>
      <c r="N31" s="686"/>
      <c r="O31" s="686"/>
      <c r="P31" s="635" t="str">
        <f>enterprise!$K$28</f>
        <v/>
      </c>
      <c r="Q31" s="636"/>
      <c r="R31" s="636"/>
      <c r="S31" s="636"/>
      <c r="T31" s="636">
        <f>enterprise!$M$28</f>
        <v>0</v>
      </c>
      <c r="U31" s="636"/>
      <c r="V31" s="636"/>
      <c r="W31" s="636"/>
      <c r="X31" s="636"/>
      <c r="Y31" s="638"/>
      <c r="Z31" s="239"/>
      <c r="AA31" s="239"/>
      <c r="AB31" s="478" t="str">
        <f t="shared" si="0"/>
        <v/>
      </c>
      <c r="AI31" s="239"/>
      <c r="AJ31" s="239"/>
      <c r="AK31" s="238"/>
      <c r="AL31" s="233"/>
      <c r="AM31" s="233"/>
      <c r="AN31" s="244"/>
      <c r="AO31" s="233"/>
      <c r="AP31" s="233"/>
      <c r="AQ31" s="233"/>
      <c r="AR31" s="233"/>
      <c r="AS31" s="233"/>
      <c r="AT31" s="233"/>
      <c r="AU31" s="233"/>
      <c r="AV31" s="233"/>
      <c r="AW31" s="233"/>
    </row>
    <row r="32" spans="1:49" ht="12.75" customHeight="1" x14ac:dyDescent="0.2">
      <c r="A32" s="233"/>
      <c r="B32" s="238"/>
      <c r="C32" s="238"/>
      <c r="D32" s="618">
        <f>enterprise!$F$29</f>
        <v>0</v>
      </c>
      <c r="E32" s="619"/>
      <c r="F32" s="620"/>
      <c r="G32" s="687" t="str">
        <f>IF(enterprise!G29 &lt;&gt;"",enterprise!$G$29,"")</f>
        <v/>
      </c>
      <c r="H32" s="687"/>
      <c r="I32" s="687"/>
      <c r="J32" s="687"/>
      <c r="K32" s="687"/>
      <c r="L32" s="687"/>
      <c r="M32" s="687"/>
      <c r="N32" s="687"/>
      <c r="O32" s="687"/>
      <c r="P32" s="621" t="str">
        <f>enterprise!$K$29</f>
        <v/>
      </c>
      <c r="Q32" s="622"/>
      <c r="R32" s="622"/>
      <c r="S32" s="622"/>
      <c r="T32" s="622">
        <f>enterprise!$M$29</f>
        <v>0</v>
      </c>
      <c r="U32" s="622"/>
      <c r="V32" s="622"/>
      <c r="W32" s="622"/>
      <c r="X32" s="622"/>
      <c r="Y32" s="623"/>
      <c r="Z32" s="239"/>
      <c r="AA32" s="239"/>
      <c r="AB32" s="478" t="str">
        <f t="shared" si="0"/>
        <v/>
      </c>
      <c r="AI32" s="239"/>
      <c r="AJ32" s="239"/>
      <c r="AK32" s="238"/>
      <c r="AL32" s="233"/>
      <c r="AM32" s="233"/>
      <c r="AN32" s="244"/>
      <c r="AO32" s="233"/>
      <c r="AP32" s="233"/>
      <c r="AQ32" s="233"/>
      <c r="AR32" s="233"/>
      <c r="AS32" s="233"/>
      <c r="AT32" s="233"/>
      <c r="AU32" s="233"/>
      <c r="AV32" s="233"/>
      <c r="AW32" s="233"/>
    </row>
    <row r="33" spans="1:49" ht="12.75" customHeight="1" x14ac:dyDescent="0.2">
      <c r="A33" s="233"/>
      <c r="B33" s="238"/>
      <c r="C33" s="238"/>
      <c r="D33" s="238"/>
      <c r="E33" s="238"/>
      <c r="F33" s="238"/>
      <c r="G33" s="238"/>
      <c r="H33" s="238"/>
      <c r="I33" s="238"/>
      <c r="J33" s="238"/>
      <c r="K33" s="238"/>
      <c r="L33" s="238"/>
      <c r="M33" s="238"/>
      <c r="N33" s="238"/>
      <c r="O33" s="238"/>
      <c r="P33" s="238"/>
      <c r="Q33" s="238"/>
      <c r="R33" s="476" t="s">
        <v>294</v>
      </c>
      <c r="S33" s="245"/>
      <c r="T33" s="632">
        <f>enterprise!$M$30</f>
        <v>2740420.6896551726</v>
      </c>
      <c r="U33" s="633"/>
      <c r="V33" s="633"/>
      <c r="W33" s="633"/>
      <c r="X33" s="633"/>
      <c r="Y33" s="634"/>
      <c r="Z33" s="639" t="str">
        <f>+IF(LEFT(Field_MonEq,3)="PES","MXN","USD")</f>
        <v>MXN</v>
      </c>
      <c r="AA33" s="640"/>
      <c r="AK33" s="238"/>
      <c r="AL33" s="233"/>
      <c r="AM33" s="233"/>
      <c r="AN33" s="244"/>
      <c r="AO33" s="233"/>
      <c r="AP33" s="233"/>
      <c r="AQ33" s="233"/>
      <c r="AR33" s="233"/>
      <c r="AS33" s="233"/>
      <c r="AT33" s="233"/>
      <c r="AU33" s="233"/>
      <c r="AV33" s="233"/>
      <c r="AW33" s="233"/>
    </row>
    <row r="34" spans="1:49" ht="12.75" customHeight="1" x14ac:dyDescent="0.2">
      <c r="A34" s="233"/>
      <c r="B34" s="238"/>
      <c r="C34" s="238"/>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8"/>
      <c r="AL34" s="233"/>
      <c r="AM34" s="233"/>
      <c r="AN34" s="244"/>
      <c r="AO34" s="233"/>
      <c r="AP34" s="233"/>
      <c r="AQ34" s="233"/>
      <c r="AR34" s="233"/>
      <c r="AS34" s="233"/>
      <c r="AT34" s="233"/>
      <c r="AU34" s="233"/>
      <c r="AV34" s="233"/>
      <c r="AW34" s="233"/>
    </row>
    <row r="35" spans="1:49" ht="12.75" customHeight="1" x14ac:dyDescent="0.2">
      <c r="A35" s="233"/>
      <c r="B35" s="238"/>
      <c r="C35" s="238"/>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8"/>
      <c r="AL35" s="233"/>
      <c r="AM35" s="233"/>
      <c r="AN35" s="244"/>
      <c r="AO35" s="233"/>
      <c r="AP35" s="233"/>
      <c r="AQ35" s="233"/>
      <c r="AR35" s="233"/>
      <c r="AS35" s="233"/>
      <c r="AT35" s="233"/>
      <c r="AU35" s="233"/>
      <c r="AV35" s="233"/>
      <c r="AW35" s="233"/>
    </row>
    <row r="36" spans="1:49" ht="12.75" customHeight="1" thickBot="1" x14ac:dyDescent="0.25">
      <c r="A36" s="233"/>
      <c r="B36" s="238"/>
      <c r="C36" s="238"/>
      <c r="D36" s="250" t="s">
        <v>25</v>
      </c>
      <c r="E36" s="257"/>
      <c r="F36" s="257"/>
      <c r="G36" s="257"/>
      <c r="H36" s="257"/>
      <c r="I36" s="257"/>
      <c r="J36" s="257"/>
      <c r="K36" s="257"/>
      <c r="L36" s="676">
        <f ca="1">IFERROR(INDIRECT("Field_Plazo" &amp; Field_Pos_1),0)</f>
        <v>24</v>
      </c>
      <c r="M36" s="677"/>
      <c r="N36" s="677"/>
      <c r="O36" s="678" t="str">
        <f ca="1">IF(L36&gt;0,"MESES",0)</f>
        <v>MESES</v>
      </c>
      <c r="P36" s="678"/>
      <c r="Q36" s="678"/>
      <c r="R36" s="679"/>
      <c r="S36" s="258"/>
      <c r="T36" s="676">
        <f ca="1">IFERROR(INDIRECT("Field_Plazo" &amp; Field_Pos_2),0)</f>
        <v>36</v>
      </c>
      <c r="U36" s="677"/>
      <c r="V36" s="677"/>
      <c r="W36" s="678" t="str">
        <f ca="1">IF(T36&gt;0,"MESES",0)</f>
        <v>MESES</v>
      </c>
      <c r="X36" s="678"/>
      <c r="Y36" s="678"/>
      <c r="Z36" s="679"/>
      <c r="AA36" s="259"/>
      <c r="AB36" s="714">
        <f ca="1">IFERROR(INDIRECT("Field_Plazo" &amp; Field_Pos_3),0)</f>
        <v>48</v>
      </c>
      <c r="AC36" s="715"/>
      <c r="AD36" s="715"/>
      <c r="AE36" s="720" t="str">
        <f ca="1">IF(AB36&gt;0,"MESES",0)</f>
        <v>MESES</v>
      </c>
      <c r="AF36" s="720"/>
      <c r="AG36" s="720"/>
      <c r="AH36" s="721"/>
      <c r="AI36" s="260"/>
      <c r="AJ36" s="237"/>
      <c r="AK36" s="238"/>
      <c r="AL36" s="233"/>
      <c r="AM36" s="233"/>
      <c r="AN36" s="233"/>
      <c r="AO36" s="233"/>
      <c r="AP36" s="233"/>
      <c r="AQ36" s="233"/>
      <c r="AR36" s="233"/>
      <c r="AS36" s="233"/>
      <c r="AT36" s="233"/>
      <c r="AU36" s="233"/>
      <c r="AV36" s="233"/>
      <c r="AW36" s="233"/>
    </row>
    <row r="37" spans="1:49" ht="12.75" customHeight="1" x14ac:dyDescent="0.2">
      <c r="A37" s="233"/>
      <c r="B37" s="238"/>
      <c r="C37" s="238"/>
      <c r="D37" s="257" t="s">
        <v>280</v>
      </c>
      <c r="E37" s="261"/>
      <c r="F37" s="257"/>
      <c r="G37" s="257"/>
      <c r="H37" s="257"/>
      <c r="I37" s="257"/>
      <c r="J37" s="257"/>
      <c r="K37" s="257"/>
      <c r="L37" s="701">
        <f ca="1">IFERROR(INDIRECT("Field_Renta_P" &amp; Field_Pos_1),0)</f>
        <v>95239.368694506993</v>
      </c>
      <c r="M37" s="702"/>
      <c r="N37" s="702"/>
      <c r="O37" s="702"/>
      <c r="P37" s="702"/>
      <c r="Q37" s="702"/>
      <c r="R37" s="703"/>
      <c r="S37" s="262"/>
      <c r="T37" s="701">
        <f ca="1">IFERROR(INDIRECT("Field_Renta_P" &amp; Field_Pos_2),0)</f>
        <v>73702.235714330018</v>
      </c>
      <c r="U37" s="702"/>
      <c r="V37" s="702"/>
      <c r="W37" s="702"/>
      <c r="X37" s="702"/>
      <c r="Y37" s="702"/>
      <c r="Z37" s="703"/>
      <c r="AA37" s="263"/>
      <c r="AB37" s="722">
        <f ca="1">IFERROR(INDIRECT("Field_Renta_P" &amp; Field_Pos_3),0)</f>
        <v>82421.384557207071</v>
      </c>
      <c r="AC37" s="723"/>
      <c r="AD37" s="723"/>
      <c r="AE37" s="723"/>
      <c r="AF37" s="723"/>
      <c r="AG37" s="723"/>
      <c r="AH37" s="724"/>
      <c r="AI37" s="264"/>
      <c r="AJ37" s="237"/>
      <c r="AK37" s="238"/>
      <c r="AL37" s="233"/>
      <c r="AM37" s="233"/>
      <c r="AN37" s="233"/>
      <c r="AO37" s="233"/>
      <c r="AP37" s="233"/>
      <c r="AQ37" s="233"/>
      <c r="AR37" s="233"/>
      <c r="AS37" s="233"/>
      <c r="AT37" s="233"/>
      <c r="AU37" s="233"/>
      <c r="AV37" s="233"/>
      <c r="AW37" s="233"/>
    </row>
    <row r="38" spans="1:49" ht="12.75" customHeight="1" x14ac:dyDescent="0.2">
      <c r="A38" s="233"/>
      <c r="B38" s="238"/>
      <c r="C38" s="238"/>
      <c r="D38" s="257" t="s">
        <v>24</v>
      </c>
      <c r="E38" s="261"/>
      <c r="F38" s="257"/>
      <c r="G38" s="257"/>
      <c r="H38" s="257"/>
      <c r="I38" s="257"/>
      <c r="J38" s="257"/>
      <c r="K38" s="257"/>
      <c r="L38" s="725">
        <f ca="1">IFERROR(INDIRECT("Field_Seguro" &amp; Field_Pos_1),0)</f>
        <v>0</v>
      </c>
      <c r="M38" s="726"/>
      <c r="N38" s="726"/>
      <c r="O38" s="726"/>
      <c r="P38" s="726"/>
      <c r="Q38" s="726"/>
      <c r="R38" s="727"/>
      <c r="S38" s="262"/>
      <c r="T38" s="725">
        <f ca="1">IFERROR(INDIRECT("Field_Seguro" &amp; Field_Pos_2),0)</f>
        <v>0</v>
      </c>
      <c r="U38" s="726"/>
      <c r="V38" s="726"/>
      <c r="W38" s="726"/>
      <c r="X38" s="726"/>
      <c r="Y38" s="726"/>
      <c r="Z38" s="727"/>
      <c r="AA38" s="263"/>
      <c r="AB38" s="725">
        <f ca="1">IFERROR(INDIRECT("Field_Seguro" &amp; Field_Pos_3),0)</f>
        <v>0</v>
      </c>
      <c r="AC38" s="726"/>
      <c r="AD38" s="726"/>
      <c r="AE38" s="726"/>
      <c r="AF38" s="726"/>
      <c r="AG38" s="726"/>
      <c r="AH38" s="727"/>
      <c r="AI38" s="264"/>
      <c r="AJ38" s="237"/>
      <c r="AK38" s="238"/>
      <c r="AL38" s="233"/>
      <c r="AM38" s="233"/>
      <c r="AN38" s="233"/>
      <c r="AO38" s="233"/>
      <c r="AP38" s="233"/>
      <c r="AQ38" s="233"/>
      <c r="AR38" s="233"/>
      <c r="AS38" s="233"/>
      <c r="AT38" s="233"/>
      <c r="AU38" s="233"/>
      <c r="AV38" s="233"/>
      <c r="AW38" s="233"/>
    </row>
    <row r="39" spans="1:49" ht="12.75" customHeight="1" x14ac:dyDescent="0.2">
      <c r="A39" s="233"/>
      <c r="B39" s="238"/>
      <c r="C39" s="265"/>
      <c r="D39" s="266"/>
      <c r="E39" s="267"/>
      <c r="F39" s="266"/>
      <c r="G39" s="266"/>
      <c r="H39" s="266"/>
      <c r="I39" s="266"/>
      <c r="J39" s="266"/>
      <c r="K39" s="266"/>
      <c r="L39" s="718"/>
      <c r="M39" s="718"/>
      <c r="N39" s="718"/>
      <c r="O39" s="718"/>
      <c r="P39" s="718"/>
      <c r="Q39" s="718"/>
      <c r="R39" s="718"/>
      <c r="S39" s="268"/>
      <c r="T39" s="268"/>
      <c r="U39" s="268"/>
      <c r="V39" s="719"/>
      <c r="W39" s="719"/>
      <c r="X39" s="719"/>
      <c r="Y39" s="719"/>
      <c r="Z39" s="719"/>
      <c r="AA39" s="269"/>
      <c r="AB39" s="270"/>
      <c r="AC39" s="270"/>
      <c r="AD39" s="719"/>
      <c r="AE39" s="719"/>
      <c r="AF39" s="719"/>
      <c r="AG39" s="719"/>
      <c r="AH39" s="719"/>
      <c r="AI39" s="264"/>
      <c r="AJ39" s="237"/>
      <c r="AK39" s="238"/>
      <c r="AL39" s="233"/>
      <c r="AM39" s="233"/>
      <c r="AN39" s="233"/>
      <c r="AO39" s="233"/>
      <c r="AP39" s="233"/>
      <c r="AQ39" s="233"/>
      <c r="AR39" s="233"/>
      <c r="AS39" s="233"/>
      <c r="AT39" s="233"/>
      <c r="AU39" s="233"/>
      <c r="AV39" s="233"/>
      <c r="AW39" s="233"/>
    </row>
    <row r="40" spans="1:49" ht="6.75" customHeight="1" x14ac:dyDescent="0.2">
      <c r="A40" s="233"/>
      <c r="B40" s="238"/>
      <c r="C40" s="238"/>
      <c r="D40" s="252"/>
      <c r="E40" s="257"/>
      <c r="F40" s="257"/>
      <c r="G40" s="257"/>
      <c r="H40" s="257"/>
      <c r="I40" s="257"/>
      <c r="J40" s="257"/>
      <c r="K40" s="257"/>
      <c r="L40" s="271"/>
      <c r="M40" s="271"/>
      <c r="N40" s="271"/>
      <c r="O40" s="271"/>
      <c r="P40" s="271"/>
      <c r="Q40" s="271"/>
      <c r="R40" s="271"/>
      <c r="S40" s="271"/>
      <c r="T40" s="271"/>
      <c r="U40" s="271"/>
      <c r="V40" s="271"/>
      <c r="W40" s="271"/>
      <c r="X40" s="271"/>
      <c r="Y40" s="271"/>
      <c r="Z40" s="271"/>
      <c r="AA40" s="263"/>
      <c r="AB40" s="272"/>
      <c r="AC40" s="272"/>
      <c r="AD40" s="272"/>
      <c r="AE40" s="272"/>
      <c r="AF40" s="272"/>
      <c r="AG40" s="272"/>
      <c r="AH40" s="272"/>
      <c r="AI40" s="264"/>
      <c r="AJ40" s="237"/>
      <c r="AK40" s="238"/>
      <c r="AL40" s="233"/>
      <c r="AM40" s="233"/>
      <c r="AN40" s="233"/>
      <c r="AO40" s="233"/>
      <c r="AP40" s="233"/>
      <c r="AQ40" s="233"/>
      <c r="AR40" s="233"/>
      <c r="AS40" s="233"/>
      <c r="AT40" s="233"/>
      <c r="AU40" s="233"/>
      <c r="AV40" s="233"/>
      <c r="AW40" s="233"/>
    </row>
    <row r="41" spans="1:49" ht="12.75" customHeight="1" x14ac:dyDescent="0.2">
      <c r="A41" s="233"/>
      <c r="B41" s="238"/>
      <c r="D41" s="250" t="s">
        <v>82</v>
      </c>
      <c r="E41" s="257"/>
      <c r="F41" s="257"/>
      <c r="G41" s="257"/>
      <c r="H41" s="257"/>
      <c r="I41" s="257"/>
      <c r="J41" s="257"/>
      <c r="K41" s="257"/>
      <c r="L41" s="663">
        <f ca="1">SUM(N42:R45)</f>
        <v>44606.310344827587</v>
      </c>
      <c r="M41" s="664"/>
      <c r="N41" s="664"/>
      <c r="O41" s="664"/>
      <c r="P41" s="664"/>
      <c r="Q41" s="665"/>
      <c r="R41" s="666"/>
      <c r="S41" s="273"/>
      <c r="T41" s="663">
        <f ca="1">SUM(V42:Z45)</f>
        <v>44606.310344827587</v>
      </c>
      <c r="U41" s="664"/>
      <c r="V41" s="664"/>
      <c r="W41" s="664"/>
      <c r="X41" s="664"/>
      <c r="Y41" s="665"/>
      <c r="Z41" s="666"/>
      <c r="AA41" s="263"/>
      <c r="AB41" s="663">
        <f ca="1">SUM(AD42:AH45)</f>
        <v>44606.310344827587</v>
      </c>
      <c r="AC41" s="664"/>
      <c r="AD41" s="664"/>
      <c r="AE41" s="664"/>
      <c r="AF41" s="664"/>
      <c r="AG41" s="665"/>
      <c r="AH41" s="666"/>
      <c r="AI41" s="264"/>
      <c r="AJ41" s="237"/>
      <c r="AK41" s="238"/>
      <c r="AL41" s="233"/>
      <c r="AM41" s="233"/>
      <c r="AN41" s="233"/>
      <c r="AO41" s="233"/>
      <c r="AP41" s="233"/>
      <c r="AQ41" s="233"/>
      <c r="AR41" s="233"/>
      <c r="AS41" s="233"/>
      <c r="AT41" s="233"/>
      <c r="AU41" s="233"/>
      <c r="AV41" s="233"/>
      <c r="AW41" s="233"/>
    </row>
    <row r="42" spans="1:49" ht="12.75" customHeight="1" x14ac:dyDescent="0.2">
      <c r="A42" s="233"/>
      <c r="B42" s="238"/>
      <c r="C42" s="238"/>
      <c r="D42" s="257" t="s">
        <v>23</v>
      </c>
      <c r="E42" s="261"/>
      <c r="F42" s="257"/>
      <c r="G42" s="257"/>
      <c r="H42" s="257"/>
      <c r="I42" s="257"/>
      <c r="J42" s="257"/>
      <c r="K42" s="257"/>
      <c r="L42" s="659">
        <f ca="1">IFERROR(INDIRECT("Field_ComisionAp_P" &amp; Field_Pos_1),0)</f>
        <v>1.4999999999999999E-2</v>
      </c>
      <c r="M42" s="660"/>
      <c r="N42" s="697">
        <f ca="1">(Q23-N45+L38)*L42</f>
        <v>41106.310344827587</v>
      </c>
      <c r="O42" s="698"/>
      <c r="P42" s="716"/>
      <c r="Q42" s="716"/>
      <c r="R42" s="717"/>
      <c r="S42" s="262"/>
      <c r="T42" s="659">
        <f ca="1">IFERROR(INDIRECT("Field_ComisionAp_P" &amp; Field_Pos_2),0)</f>
        <v>1.4999999999999999E-2</v>
      </c>
      <c r="U42" s="660"/>
      <c r="V42" s="697">
        <f ca="1">(Q23-V45+T38)*T42</f>
        <v>41106.310344827587</v>
      </c>
      <c r="W42" s="698"/>
      <c r="X42" s="716"/>
      <c r="Y42" s="716"/>
      <c r="Z42" s="717"/>
      <c r="AA42" s="263"/>
      <c r="AB42" s="659">
        <f ca="1">IFERROR(INDIRECT("Field_ComisionAp_P" &amp; Field_Pos_3),0)</f>
        <v>1.4999999999999999E-2</v>
      </c>
      <c r="AC42" s="660"/>
      <c r="AD42" s="697">
        <f ca="1">(Q23-AD45+AB38)*AB42</f>
        <v>41106.310344827587</v>
      </c>
      <c r="AE42" s="698"/>
      <c r="AF42" s="716"/>
      <c r="AG42" s="716"/>
      <c r="AH42" s="717"/>
      <c r="AI42" s="264"/>
      <c r="AJ42" s="237"/>
      <c r="AK42" s="238"/>
      <c r="AL42" s="233"/>
      <c r="AM42" s="233"/>
      <c r="AN42" s="233"/>
      <c r="AO42" s="233"/>
      <c r="AP42" s="233"/>
      <c r="AQ42" s="233"/>
      <c r="AR42" s="233"/>
      <c r="AS42" s="233"/>
      <c r="AT42" s="233"/>
      <c r="AU42" s="233"/>
      <c r="AV42" s="233"/>
      <c r="AW42" s="233"/>
    </row>
    <row r="43" spans="1:49" ht="12.75" customHeight="1" x14ac:dyDescent="0.2">
      <c r="A43" s="233"/>
      <c r="B43" s="238"/>
      <c r="C43" s="238"/>
      <c r="D43" s="252" t="s">
        <v>281</v>
      </c>
      <c r="E43" s="257"/>
      <c r="F43" s="257"/>
      <c r="G43" s="257"/>
      <c r="H43" s="257"/>
      <c r="I43" s="257"/>
      <c r="J43" s="257"/>
      <c r="K43" s="257"/>
      <c r="L43" s="654">
        <f ca="1">IFERROR(INDIRECT("Field_RentasDep_" &amp; Field_Pos_1),0)</f>
        <v>0</v>
      </c>
      <c r="M43" s="655"/>
      <c r="N43" s="691">
        <f ca="1">IF(Field_Num_PlazosSel&gt;2,L37*L43,-1)</f>
        <v>0</v>
      </c>
      <c r="O43" s="650"/>
      <c r="P43" s="650"/>
      <c r="Q43" s="650"/>
      <c r="R43" s="656"/>
      <c r="S43" s="262"/>
      <c r="T43" s="654">
        <f ca="1">IFERROR(INDIRECT("Field_RentasDep_" &amp; Field_Pos_2),0)</f>
        <v>0</v>
      </c>
      <c r="U43" s="655"/>
      <c r="V43" s="691">
        <f ca="1">IF(Field_Num_PlazosSel&gt;=2,T37*T43,-1)</f>
        <v>0</v>
      </c>
      <c r="W43" s="650"/>
      <c r="X43" s="650"/>
      <c r="Y43" s="650"/>
      <c r="Z43" s="656"/>
      <c r="AA43" s="263"/>
      <c r="AB43" s="654">
        <f ca="1">IFERROR(INDIRECT("Field_RentasDep_" &amp; Field_Pos_3),0)</f>
        <v>0</v>
      </c>
      <c r="AC43" s="655"/>
      <c r="AD43" s="691">
        <f ca="1">IF(Field_Num_PlazosSel&gt;0,AB37*AB43,-1)</f>
        <v>0</v>
      </c>
      <c r="AE43" s="650"/>
      <c r="AF43" s="650"/>
      <c r="AG43" s="650"/>
      <c r="AH43" s="656"/>
      <c r="AI43" s="264"/>
      <c r="AJ43" s="237"/>
      <c r="AK43" s="238"/>
      <c r="AL43" s="233"/>
      <c r="AM43" s="233"/>
      <c r="AN43" s="233"/>
      <c r="AO43" s="233"/>
      <c r="AP43" s="233"/>
      <c r="AQ43" s="233"/>
      <c r="AR43" s="233"/>
      <c r="AS43" s="233"/>
      <c r="AT43" s="233"/>
      <c r="AU43" s="233"/>
      <c r="AV43" s="233"/>
      <c r="AW43" s="233"/>
    </row>
    <row r="44" spans="1:49" ht="12.75" customHeight="1" x14ac:dyDescent="0.2">
      <c r="A44" s="233"/>
      <c r="B44" s="238"/>
      <c r="C44" s="238"/>
      <c r="D44" s="252" t="s">
        <v>22</v>
      </c>
      <c r="E44" s="257"/>
      <c r="F44" s="257"/>
      <c r="G44" s="257"/>
      <c r="H44" s="257"/>
      <c r="I44" s="257"/>
      <c r="J44" s="257"/>
      <c r="K44" s="257"/>
      <c r="L44" s="648" t="str">
        <f>IF(Field_Num_PlazosSel&gt;2,"",-1)</f>
        <v/>
      </c>
      <c r="M44" s="649"/>
      <c r="N44" s="691">
        <f>IF(Field_Num_PlazosSel&gt;2,Field_RatificacionPuro,-1)</f>
        <v>3500</v>
      </c>
      <c r="O44" s="650"/>
      <c r="P44" s="651"/>
      <c r="Q44" s="651"/>
      <c r="R44" s="652"/>
      <c r="S44" s="262"/>
      <c r="T44" s="648" t="str">
        <f>IF(Field_Num_PlazosSel&gt;=2,"",-1)</f>
        <v/>
      </c>
      <c r="U44" s="649"/>
      <c r="V44" s="691">
        <f>IF(Field_Num_PlazosSel&gt;=2,Field_RatificacionPuro,-1)</f>
        <v>3500</v>
      </c>
      <c r="W44" s="650"/>
      <c r="X44" s="651"/>
      <c r="Y44" s="651"/>
      <c r="Z44" s="652"/>
      <c r="AA44" s="263"/>
      <c r="AB44" s="654" t="str">
        <f>IF(Field_Num_PlazosSel&gt;0,"",-1)</f>
        <v/>
      </c>
      <c r="AC44" s="655"/>
      <c r="AD44" s="691">
        <f>IF(Field_Num_PlazosSel&gt;0,Field_RatificacionPuro,-1)</f>
        <v>3500</v>
      </c>
      <c r="AE44" s="650"/>
      <c r="AF44" s="651"/>
      <c r="AG44" s="651"/>
      <c r="AH44" s="652"/>
      <c r="AI44" s="264"/>
      <c r="AJ44" s="237"/>
      <c r="AK44" s="238"/>
      <c r="AL44" s="233"/>
      <c r="AM44" s="233"/>
      <c r="AN44" s="233"/>
      <c r="AO44" s="233"/>
      <c r="AP44" s="233"/>
      <c r="AQ44" s="233"/>
      <c r="AR44" s="233"/>
      <c r="AS44" s="233"/>
      <c r="AT44" s="233"/>
      <c r="AU44" s="233"/>
      <c r="AV44" s="233"/>
      <c r="AW44" s="233"/>
    </row>
    <row r="45" spans="1:49" ht="12.75" customHeight="1" x14ac:dyDescent="0.2">
      <c r="A45" s="233"/>
      <c r="B45" s="238"/>
      <c r="C45" s="238"/>
      <c r="D45" s="252" t="s">
        <v>282</v>
      </c>
      <c r="E45" s="257"/>
      <c r="F45" s="257"/>
      <c r="G45" s="257"/>
      <c r="H45" s="257"/>
      <c r="I45" s="257"/>
      <c r="J45" s="257"/>
      <c r="K45" s="257"/>
      <c r="L45" s="711">
        <f ca="1">IFERROR(INDIRECT("Field_Enganche_Porc_Puro_" &amp; Field_Pos_1),0)</f>
        <v>0</v>
      </c>
      <c r="M45" s="712"/>
      <c r="N45" s="696">
        <f ca="1">IF(Field_Num_PlazosSel&gt;2,Q23*L45,-1)</f>
        <v>0</v>
      </c>
      <c r="O45" s="643"/>
      <c r="P45" s="643"/>
      <c r="Q45" s="643"/>
      <c r="R45" s="713"/>
      <c r="S45" s="262"/>
      <c r="T45" s="711">
        <f ca="1">IFERROR(INDIRECT("Field_Enganche_Porc_Puro_" &amp; Field_Pos_2),0)</f>
        <v>0</v>
      </c>
      <c r="U45" s="712"/>
      <c r="V45" s="696">
        <f ca="1">IF(Field_Num_PlazosSel&gt;=2,Q23*T45,-1)</f>
        <v>0</v>
      </c>
      <c r="W45" s="643"/>
      <c r="X45" s="643"/>
      <c r="Y45" s="643"/>
      <c r="Z45" s="713"/>
      <c r="AA45" s="263"/>
      <c r="AB45" s="711">
        <f ca="1">IFERROR(INDIRECT("Field_Enganche_Porc_Puro_" &amp; Field_Pos_3),0)</f>
        <v>0</v>
      </c>
      <c r="AC45" s="712"/>
      <c r="AD45" s="696">
        <f ca="1">IF(Field_Num_PlazosSel&gt;0,Q23*AB45,-1)</f>
        <v>0</v>
      </c>
      <c r="AE45" s="643"/>
      <c r="AF45" s="643"/>
      <c r="AG45" s="643"/>
      <c r="AH45" s="713"/>
      <c r="AI45" s="274"/>
      <c r="AJ45" s="237"/>
      <c r="AK45" s="238"/>
      <c r="AL45" s="233"/>
      <c r="AM45" s="233"/>
      <c r="AN45" s="233"/>
      <c r="AO45" s="233"/>
      <c r="AP45" s="233"/>
      <c r="AQ45" s="233"/>
      <c r="AR45" s="233"/>
      <c r="AS45" s="233"/>
      <c r="AT45" s="233"/>
      <c r="AU45" s="233"/>
      <c r="AV45" s="233"/>
      <c r="AW45" s="233"/>
    </row>
    <row r="46" spans="1:49" ht="6" customHeight="1" x14ac:dyDescent="0.2">
      <c r="A46" s="233"/>
      <c r="B46" s="238"/>
      <c r="C46" s="238"/>
      <c r="D46" s="252"/>
      <c r="E46" s="257"/>
      <c r="F46" s="257"/>
      <c r="G46" s="257"/>
      <c r="H46" s="257"/>
      <c r="I46" s="257"/>
      <c r="J46" s="257"/>
      <c r="K46" s="257"/>
      <c r="L46" s="275"/>
      <c r="M46" s="275"/>
      <c r="N46" s="276"/>
      <c r="O46" s="276"/>
      <c r="P46" s="276"/>
      <c r="Q46" s="276"/>
      <c r="R46" s="276"/>
      <c r="S46" s="262"/>
      <c r="T46" s="275"/>
      <c r="U46" s="275"/>
      <c r="V46" s="276"/>
      <c r="W46" s="276"/>
      <c r="X46" s="276"/>
      <c r="Y46" s="276"/>
      <c r="Z46" s="276"/>
      <c r="AA46" s="263"/>
      <c r="AB46" s="277"/>
      <c r="AC46" s="277"/>
      <c r="AD46" s="278"/>
      <c r="AE46" s="278"/>
      <c r="AF46" s="278"/>
      <c r="AG46" s="278"/>
      <c r="AH46" s="278"/>
      <c r="AI46" s="274"/>
      <c r="AJ46" s="237"/>
      <c r="AK46" s="238"/>
      <c r="AL46" s="233"/>
      <c r="AM46" s="233"/>
      <c r="AN46" s="233"/>
      <c r="AO46" s="233"/>
      <c r="AP46" s="233"/>
      <c r="AQ46" s="233"/>
      <c r="AR46" s="233"/>
      <c r="AS46" s="233"/>
      <c r="AT46" s="233"/>
      <c r="AU46" s="233"/>
      <c r="AV46" s="233"/>
      <c r="AW46" s="233"/>
    </row>
    <row r="47" spans="1:49" ht="12.75" customHeight="1" x14ac:dyDescent="0.2">
      <c r="A47" s="233"/>
      <c r="B47" s="238"/>
      <c r="C47" s="245"/>
      <c r="D47" s="710" t="s">
        <v>88</v>
      </c>
      <c r="E47" s="710"/>
      <c r="F47" s="710"/>
      <c r="G47" s="710"/>
      <c r="H47" s="710"/>
      <c r="I47" s="710"/>
      <c r="J47" s="710"/>
      <c r="K47" s="710"/>
      <c r="L47" s="271"/>
      <c r="M47" s="271"/>
      <c r="N47" s="271"/>
      <c r="O47" s="271"/>
      <c r="P47" s="271"/>
      <c r="Q47" s="271"/>
      <c r="R47" s="271"/>
      <c r="S47" s="271"/>
      <c r="T47" s="271"/>
      <c r="U47" s="271"/>
      <c r="V47" s="271"/>
      <c r="W47" s="271"/>
      <c r="X47" s="271"/>
      <c r="Y47" s="271"/>
      <c r="Z47" s="271"/>
      <c r="AA47" s="263"/>
      <c r="AB47" s="272"/>
      <c r="AC47" s="272"/>
      <c r="AD47" s="272"/>
      <c r="AE47" s="272"/>
      <c r="AF47" s="272"/>
      <c r="AG47" s="272"/>
      <c r="AH47" s="272"/>
      <c r="AI47" s="274"/>
      <c r="AJ47" s="237"/>
      <c r="AK47" s="238"/>
      <c r="AL47" s="233"/>
      <c r="AM47" s="233"/>
      <c r="AN47" s="233"/>
      <c r="AO47" s="233"/>
      <c r="AP47" s="233"/>
      <c r="AQ47" s="233"/>
      <c r="AR47" s="233"/>
      <c r="AS47" s="233"/>
      <c r="AT47" s="233"/>
      <c r="AU47" s="233"/>
      <c r="AV47" s="233"/>
      <c r="AW47" s="233"/>
    </row>
    <row r="48" spans="1:49" ht="12.75" customHeight="1" x14ac:dyDescent="0.2">
      <c r="A48" s="233"/>
      <c r="B48" s="238"/>
      <c r="C48" s="245"/>
      <c r="D48" s="710"/>
      <c r="E48" s="710"/>
      <c r="F48" s="710"/>
      <c r="G48" s="710"/>
      <c r="H48" s="710"/>
      <c r="I48" s="710"/>
      <c r="J48" s="710"/>
      <c r="K48" s="710"/>
      <c r="L48" s="693">
        <f ca="1">IFERROR(INDIRECT("Field_ResidualValcte_" &amp; Field_Pos_1),0)</f>
        <v>1041359.8620689656</v>
      </c>
      <c r="M48" s="694"/>
      <c r="N48" s="694"/>
      <c r="O48" s="694"/>
      <c r="P48" s="694"/>
      <c r="Q48" s="694"/>
      <c r="R48" s="695"/>
      <c r="S48" s="273"/>
      <c r="T48" s="693">
        <f ca="1">IFERROR(INDIRECT("Field_ResidualValcte_" &amp; Field_Pos_2),0)</f>
        <v>904338.82758620684</v>
      </c>
      <c r="U48" s="694"/>
      <c r="V48" s="694"/>
      <c r="W48" s="694"/>
      <c r="X48" s="694"/>
      <c r="Y48" s="694"/>
      <c r="Z48" s="695"/>
      <c r="AA48" s="263"/>
      <c r="AB48" s="693">
        <f ca="1">IFERROR(INDIRECT("Field_ResidualValcte_" &amp; Field_Pos_3),0)</f>
        <v>767317.79310344846</v>
      </c>
      <c r="AC48" s="694"/>
      <c r="AD48" s="694"/>
      <c r="AE48" s="694"/>
      <c r="AF48" s="694"/>
      <c r="AG48" s="694"/>
      <c r="AH48" s="695"/>
      <c r="AI48" s="274"/>
      <c r="AJ48" s="237"/>
      <c r="AK48" s="238"/>
      <c r="AL48" s="233"/>
      <c r="AM48" s="233"/>
      <c r="AN48" s="233"/>
      <c r="AO48" s="233"/>
      <c r="AP48" s="233"/>
      <c r="AQ48" s="233"/>
      <c r="AR48" s="233"/>
      <c r="AS48" s="233"/>
      <c r="AT48" s="233"/>
      <c r="AU48" s="233"/>
      <c r="AV48" s="233"/>
      <c r="AW48" s="233"/>
    </row>
    <row r="49" spans="1:49" ht="12.75" customHeight="1" x14ac:dyDescent="0.2">
      <c r="A49" s="233"/>
      <c r="B49" s="238"/>
      <c r="C49" s="238"/>
      <c r="D49" s="239"/>
      <c r="E49" s="239"/>
      <c r="F49" s="239"/>
      <c r="G49" s="239"/>
      <c r="H49" s="239"/>
      <c r="I49" s="239"/>
      <c r="J49" s="239"/>
      <c r="K49" s="239"/>
      <c r="L49" s="279"/>
      <c r="M49" s="279"/>
      <c r="N49" s="279"/>
      <c r="O49" s="279"/>
      <c r="P49" s="279"/>
      <c r="Q49" s="279"/>
      <c r="R49" s="279"/>
      <c r="S49" s="279"/>
      <c r="T49" s="279"/>
      <c r="U49" s="279"/>
      <c r="V49" s="279"/>
      <c r="W49" s="279"/>
      <c r="X49" s="279"/>
      <c r="Y49" s="279"/>
      <c r="Z49" s="279"/>
      <c r="AA49" s="239"/>
      <c r="AB49" s="280"/>
      <c r="AC49" s="280"/>
      <c r="AD49" s="280"/>
      <c r="AE49" s="280"/>
      <c r="AF49" s="280"/>
      <c r="AG49" s="280"/>
      <c r="AH49" s="280"/>
      <c r="AI49" s="239"/>
      <c r="AJ49" s="239"/>
      <c r="AK49" s="238"/>
      <c r="AL49" s="233"/>
      <c r="AM49" s="233"/>
      <c r="AN49" s="233"/>
      <c r="AO49" s="233"/>
      <c r="AP49" s="233"/>
      <c r="AQ49" s="233"/>
      <c r="AR49" s="233"/>
      <c r="AS49" s="233"/>
      <c r="AT49" s="233"/>
      <c r="AU49" s="233"/>
      <c r="AV49" s="233"/>
      <c r="AW49" s="233"/>
    </row>
    <row r="50" spans="1:49" ht="12.75" customHeight="1" x14ac:dyDescent="0.2">
      <c r="A50" s="233"/>
      <c r="B50" s="238"/>
      <c r="C50" s="238"/>
      <c r="D50" s="239"/>
      <c r="E50" s="239"/>
      <c r="F50" s="239"/>
      <c r="G50" s="239"/>
      <c r="H50" s="239"/>
      <c r="I50" s="239"/>
      <c r="J50" s="239"/>
      <c r="K50" s="239"/>
      <c r="L50" s="279"/>
      <c r="M50" s="279"/>
      <c r="N50" s="279"/>
      <c r="O50" s="279"/>
      <c r="P50" s="279"/>
      <c r="Q50" s="279"/>
      <c r="R50" s="279"/>
      <c r="S50" s="279"/>
      <c r="T50" s="279"/>
      <c r="U50" s="279"/>
      <c r="V50" s="279"/>
      <c r="W50" s="279"/>
      <c r="X50" s="279"/>
      <c r="Y50" s="279"/>
      <c r="Z50" s="279"/>
      <c r="AA50" s="239"/>
      <c r="AB50" s="280"/>
      <c r="AC50" s="280"/>
      <c r="AD50" s="280"/>
      <c r="AE50" s="280"/>
      <c r="AF50" s="280"/>
      <c r="AG50" s="280"/>
      <c r="AH50" s="280"/>
      <c r="AI50" s="239"/>
      <c r="AJ50" s="239"/>
      <c r="AK50" s="238"/>
      <c r="AL50" s="233"/>
      <c r="AM50" s="233"/>
      <c r="AN50" s="233"/>
      <c r="AO50" s="233"/>
      <c r="AP50" s="233"/>
      <c r="AQ50" s="233"/>
      <c r="AR50" s="233"/>
      <c r="AS50" s="233"/>
      <c r="AT50" s="233"/>
      <c r="AU50" s="233"/>
      <c r="AV50" s="233"/>
      <c r="AW50" s="233"/>
    </row>
    <row r="51" spans="1:49" ht="12.75" customHeight="1" x14ac:dyDescent="0.2">
      <c r="A51" s="233"/>
      <c r="B51" s="238"/>
      <c r="C51" s="245" t="s">
        <v>19</v>
      </c>
      <c r="D51" s="239"/>
      <c r="E51" s="239"/>
      <c r="F51" s="239"/>
      <c r="G51" s="239"/>
      <c r="H51" s="239"/>
      <c r="I51" s="239"/>
      <c r="J51" s="239"/>
      <c r="K51" s="239"/>
      <c r="L51" s="239"/>
      <c r="M51" s="239"/>
      <c r="N51" s="239"/>
      <c r="O51" s="239"/>
      <c r="P51" s="239"/>
      <c r="Q51" s="239"/>
      <c r="R51" s="239"/>
      <c r="S51" s="239"/>
      <c r="T51" s="279"/>
      <c r="U51" s="279"/>
      <c r="V51" s="281"/>
      <c r="W51" s="279"/>
      <c r="X51" s="279"/>
      <c r="Y51" s="279"/>
      <c r="Z51" s="279"/>
      <c r="AA51" s="239"/>
      <c r="AB51" s="239"/>
      <c r="AC51" s="239"/>
      <c r="AD51" s="239"/>
      <c r="AE51" s="239"/>
      <c r="AF51" s="239"/>
      <c r="AG51" s="239"/>
      <c r="AH51" s="239"/>
      <c r="AI51" s="239"/>
      <c r="AJ51" s="239"/>
      <c r="AK51" s="238"/>
      <c r="AL51" s="233"/>
      <c r="AM51" s="233"/>
      <c r="AN51" s="233"/>
      <c r="AO51" s="233"/>
      <c r="AP51" s="233"/>
      <c r="AQ51" s="233"/>
      <c r="AR51" s="233"/>
      <c r="AS51" s="233"/>
      <c r="AT51" s="233"/>
      <c r="AU51" s="233"/>
      <c r="AV51" s="233"/>
      <c r="AW51" s="233"/>
    </row>
    <row r="52" spans="1:49" ht="30.75" customHeight="1" x14ac:dyDescent="0.2">
      <c r="A52" s="233"/>
      <c r="B52" s="238"/>
      <c r="C52" s="625" t="s">
        <v>246</v>
      </c>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c r="AD52" s="625"/>
      <c r="AE52" s="625"/>
      <c r="AF52" s="625"/>
      <c r="AG52" s="625"/>
      <c r="AH52" s="625"/>
      <c r="AI52" s="239"/>
      <c r="AJ52" s="239"/>
      <c r="AK52" s="238"/>
      <c r="AL52" s="233"/>
      <c r="AM52" s="233"/>
      <c r="AN52" s="233"/>
      <c r="AO52" s="233"/>
      <c r="AP52" s="233"/>
      <c r="AQ52" s="233"/>
      <c r="AR52" s="233"/>
      <c r="AS52" s="233"/>
      <c r="AT52" s="233"/>
      <c r="AU52" s="233"/>
      <c r="AV52" s="233"/>
      <c r="AW52" s="233"/>
    </row>
    <row r="53" spans="1:49" ht="15" customHeight="1" x14ac:dyDescent="0.2">
      <c r="A53" s="233"/>
      <c r="B53" s="238"/>
      <c r="C53" s="610" t="s">
        <v>247</v>
      </c>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c r="AH53" s="610"/>
      <c r="AI53" s="239"/>
      <c r="AJ53" s="239"/>
      <c r="AK53" s="238"/>
      <c r="AL53" s="233"/>
      <c r="AM53" s="233"/>
      <c r="AN53" s="233"/>
      <c r="AO53" s="233"/>
      <c r="AP53" s="233"/>
      <c r="AQ53" s="233"/>
      <c r="AR53" s="233"/>
      <c r="AS53" s="233"/>
      <c r="AT53" s="233"/>
      <c r="AU53" s="233"/>
      <c r="AV53" s="233"/>
      <c r="AW53" s="233"/>
    </row>
    <row r="54" spans="1:49" ht="15.75" customHeight="1" x14ac:dyDescent="0.2">
      <c r="A54" s="233"/>
      <c r="B54" s="238"/>
      <c r="C54" s="610" t="s">
        <v>253</v>
      </c>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239"/>
      <c r="AJ54" s="239"/>
      <c r="AK54" s="238"/>
      <c r="AL54" s="233"/>
      <c r="AM54" s="233"/>
      <c r="AN54" s="233"/>
      <c r="AO54" s="233"/>
      <c r="AP54" s="233"/>
      <c r="AQ54" s="233"/>
      <c r="AR54" s="233"/>
      <c r="AS54" s="233"/>
      <c r="AT54" s="233"/>
      <c r="AU54" s="233"/>
      <c r="AV54" s="233"/>
      <c r="AW54" s="233"/>
    </row>
    <row r="55" spans="1:49" ht="15" customHeight="1" x14ac:dyDescent="0.2">
      <c r="A55" s="233"/>
      <c r="B55" s="238"/>
      <c r="C55" s="610" t="s">
        <v>248</v>
      </c>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239"/>
      <c r="AJ55" s="239"/>
      <c r="AK55" s="238"/>
      <c r="AL55" s="233"/>
      <c r="AM55" s="233"/>
      <c r="AN55" s="233"/>
      <c r="AO55" s="233"/>
      <c r="AP55" s="233"/>
      <c r="AQ55" s="233"/>
      <c r="AR55" s="233"/>
      <c r="AS55" s="233"/>
      <c r="AT55" s="233"/>
      <c r="AU55" s="233"/>
      <c r="AV55" s="233"/>
      <c r="AW55" s="233"/>
    </row>
    <row r="56" spans="1:49" ht="41.25" customHeight="1" x14ac:dyDescent="0.2">
      <c r="A56" s="233"/>
      <c r="B56" s="238"/>
      <c r="C56" s="625" t="s">
        <v>249</v>
      </c>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5"/>
      <c r="AD56" s="625"/>
      <c r="AE56" s="625"/>
      <c r="AF56" s="625"/>
      <c r="AG56" s="625"/>
      <c r="AH56" s="625"/>
      <c r="AI56" s="239"/>
      <c r="AJ56" s="239"/>
      <c r="AK56" s="238"/>
      <c r="AL56" s="233"/>
      <c r="AM56" s="233"/>
      <c r="AN56" s="233"/>
      <c r="AO56" s="233"/>
      <c r="AP56" s="233"/>
      <c r="AQ56" s="233"/>
      <c r="AR56" s="233"/>
      <c r="AS56" s="233"/>
      <c r="AT56" s="233"/>
      <c r="AU56" s="233"/>
      <c r="AV56" s="233"/>
      <c r="AW56" s="233"/>
    </row>
    <row r="57" spans="1:49" ht="66" customHeight="1" x14ac:dyDescent="0.2">
      <c r="A57" s="233"/>
      <c r="B57" s="238"/>
      <c r="C57" s="625" t="s">
        <v>250</v>
      </c>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5"/>
      <c r="AI57" s="239"/>
      <c r="AJ57" s="239"/>
      <c r="AK57" s="238"/>
      <c r="AL57" s="233"/>
      <c r="AM57" s="233"/>
      <c r="AN57" s="233"/>
      <c r="AO57" s="233"/>
      <c r="AP57" s="233"/>
      <c r="AQ57" s="233"/>
      <c r="AR57" s="233"/>
      <c r="AS57" s="233"/>
      <c r="AT57" s="233"/>
      <c r="AU57" s="233"/>
      <c r="AV57" s="233"/>
      <c r="AW57" s="233"/>
    </row>
    <row r="58" spans="1:49" ht="16.5" customHeight="1" x14ac:dyDescent="0.2">
      <c r="A58" s="233"/>
      <c r="B58" s="238"/>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9"/>
      <c r="AJ58" s="239"/>
      <c r="AK58" s="238"/>
      <c r="AL58" s="233"/>
      <c r="AM58" s="233"/>
      <c r="AN58" s="233"/>
      <c r="AO58" s="233"/>
      <c r="AP58" s="233"/>
      <c r="AQ58" s="233"/>
      <c r="AR58" s="233"/>
      <c r="AS58" s="233"/>
      <c r="AT58" s="233"/>
      <c r="AU58" s="233"/>
      <c r="AV58" s="233"/>
      <c r="AW58" s="233"/>
    </row>
    <row r="59" spans="1:49" ht="49.5" customHeight="1" x14ac:dyDescent="0.2">
      <c r="A59" s="233"/>
      <c r="B59" s="238"/>
      <c r="C59" s="626" t="s">
        <v>251</v>
      </c>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238"/>
      <c r="AI59" s="239"/>
      <c r="AJ59" s="239"/>
      <c r="AK59" s="238"/>
      <c r="AL59" s="233"/>
      <c r="AM59" s="233"/>
      <c r="AN59" s="233"/>
      <c r="AO59" s="233"/>
      <c r="AP59" s="233"/>
      <c r="AQ59" s="233"/>
      <c r="AR59" s="233"/>
      <c r="AS59" s="233"/>
      <c r="AT59" s="233"/>
      <c r="AU59" s="233"/>
      <c r="AV59" s="233"/>
      <c r="AW59" s="233"/>
    </row>
    <row r="60" spans="1:49" x14ac:dyDescent="0.2">
      <c r="A60" s="233"/>
      <c r="B60" s="238"/>
      <c r="C60" s="653" t="s">
        <v>252</v>
      </c>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238"/>
      <c r="AI60" s="239"/>
      <c r="AJ60" s="239"/>
      <c r="AK60" s="238"/>
      <c r="AL60" s="233"/>
      <c r="AM60" s="233"/>
      <c r="AN60" s="233"/>
      <c r="AO60" s="233"/>
      <c r="AP60" s="233"/>
      <c r="AQ60" s="233"/>
      <c r="AR60" s="233"/>
      <c r="AS60" s="233"/>
      <c r="AT60" s="233"/>
      <c r="AU60" s="233"/>
      <c r="AV60" s="233"/>
      <c r="AW60" s="233"/>
    </row>
    <row r="61" spans="1:49" ht="12" customHeight="1" x14ac:dyDescent="0.2">
      <c r="A61" s="233"/>
      <c r="B61" s="282"/>
      <c r="C61" s="238"/>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2"/>
      <c r="AL61" s="233"/>
      <c r="AM61" s="233"/>
      <c r="AN61" s="233"/>
      <c r="AO61" s="233"/>
      <c r="AP61" s="233"/>
      <c r="AQ61" s="233"/>
      <c r="AR61" s="233"/>
      <c r="AS61" s="233"/>
      <c r="AT61" s="233"/>
      <c r="AU61" s="233"/>
      <c r="AV61" s="233"/>
      <c r="AW61" s="233"/>
    </row>
    <row r="62" spans="1:49" ht="12" customHeight="1" x14ac:dyDescent="0.2">
      <c r="A62" s="233"/>
      <c r="B62" s="282"/>
      <c r="C62" s="627" t="s">
        <v>20</v>
      </c>
      <c r="D62" s="627"/>
      <c r="E62" s="627"/>
      <c r="F62" s="627"/>
      <c r="G62" s="627"/>
      <c r="H62" s="627"/>
      <c r="I62" s="627"/>
      <c r="J62" s="627"/>
      <c r="K62" s="627"/>
      <c r="L62" s="627"/>
      <c r="M62" s="627"/>
      <c r="N62" s="627"/>
      <c r="O62" s="627"/>
      <c r="P62" s="627"/>
      <c r="Q62" s="627"/>
      <c r="R62" s="627"/>
      <c r="S62" s="627"/>
      <c r="T62" s="627"/>
      <c r="U62" s="627"/>
      <c r="V62" s="627"/>
      <c r="W62" s="627"/>
      <c r="X62" s="627"/>
      <c r="Y62" s="627"/>
      <c r="Z62" s="627"/>
      <c r="AA62" s="627"/>
      <c r="AB62" s="627"/>
      <c r="AC62" s="627"/>
      <c r="AD62" s="627"/>
      <c r="AE62" s="627"/>
      <c r="AF62" s="627"/>
      <c r="AG62" s="627"/>
      <c r="AH62" s="627"/>
      <c r="AI62" s="627"/>
      <c r="AJ62" s="627"/>
      <c r="AK62" s="282"/>
      <c r="AL62" s="233"/>
      <c r="AM62" s="233"/>
      <c r="AN62" s="233"/>
      <c r="AO62" s="233"/>
      <c r="AP62" s="233"/>
      <c r="AQ62" s="233"/>
      <c r="AR62" s="233"/>
      <c r="AS62" s="233"/>
      <c r="AT62" s="233"/>
      <c r="AU62" s="233"/>
      <c r="AV62" s="233"/>
      <c r="AW62" s="233"/>
    </row>
    <row r="63" spans="1:49" ht="14.25" x14ac:dyDescent="0.2">
      <c r="A63" s="233"/>
      <c r="B63" s="282"/>
      <c r="C63" s="628" t="str">
        <f>TRIM(Y8)</f>
        <v>Nombre del Ejecutivo</v>
      </c>
      <c r="D63" s="628"/>
      <c r="E63" s="628"/>
      <c r="F63" s="628"/>
      <c r="G63" s="628"/>
      <c r="H63" s="628"/>
      <c r="I63" s="628"/>
      <c r="J63" s="628"/>
      <c r="K63" s="628"/>
      <c r="L63" s="628"/>
      <c r="M63" s="628"/>
      <c r="N63" s="628"/>
      <c r="O63" s="628"/>
      <c r="P63" s="628"/>
      <c r="Q63" s="628"/>
      <c r="R63" s="628"/>
      <c r="S63" s="628"/>
      <c r="T63" s="628"/>
      <c r="U63" s="628"/>
      <c r="V63" s="628"/>
      <c r="W63" s="628"/>
      <c r="X63" s="628"/>
      <c r="Y63" s="628"/>
      <c r="Z63" s="628"/>
      <c r="AA63" s="628"/>
      <c r="AB63" s="628"/>
      <c r="AC63" s="628"/>
      <c r="AD63" s="628"/>
      <c r="AE63" s="628"/>
      <c r="AF63" s="628"/>
      <c r="AG63" s="628"/>
      <c r="AH63" s="628"/>
      <c r="AI63" s="628"/>
      <c r="AJ63" s="628"/>
      <c r="AK63" s="282"/>
      <c r="AL63" s="233"/>
      <c r="AM63" s="233"/>
      <c r="AN63" s="233"/>
      <c r="AO63" s="233"/>
      <c r="AP63" s="233"/>
      <c r="AQ63" s="233"/>
      <c r="AR63" s="233"/>
      <c r="AS63" s="233"/>
      <c r="AT63" s="233"/>
      <c r="AU63" s="233"/>
      <c r="AV63" s="233"/>
      <c r="AW63" s="233"/>
    </row>
    <row r="64" spans="1:49" ht="13.5" thickBot="1" x14ac:dyDescent="0.25">
      <c r="A64" s="233"/>
      <c r="B64" s="236"/>
      <c r="C64" s="238"/>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6"/>
      <c r="AL64" s="233"/>
      <c r="AM64" s="233"/>
      <c r="AN64" s="233"/>
      <c r="AO64" s="233"/>
      <c r="AP64" s="233"/>
      <c r="AQ64" s="233"/>
      <c r="AR64" s="233"/>
      <c r="AS64" s="233"/>
      <c r="AT64" s="233"/>
      <c r="AU64" s="233"/>
      <c r="AV64" s="233"/>
      <c r="AW64" s="233"/>
    </row>
    <row r="65" spans="1:49" ht="28.5" customHeight="1" thickBot="1" x14ac:dyDescent="0.25">
      <c r="A65" s="233"/>
      <c r="B65" s="629" t="s">
        <v>49</v>
      </c>
      <c r="C65" s="630"/>
      <c r="D65" s="630"/>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0"/>
      <c r="AI65" s="630"/>
      <c r="AJ65" s="630"/>
      <c r="AK65" s="631"/>
      <c r="AL65" s="233"/>
      <c r="AM65" s="233"/>
      <c r="AN65" s="233"/>
      <c r="AO65" s="233"/>
      <c r="AP65" s="233"/>
      <c r="AQ65" s="233"/>
      <c r="AR65" s="233"/>
      <c r="AS65" s="233"/>
      <c r="AT65" s="233"/>
      <c r="AU65" s="233"/>
      <c r="AV65" s="233"/>
      <c r="AW65" s="233"/>
    </row>
    <row r="66" spans="1:49" ht="12.75" customHeight="1" x14ac:dyDescent="0.2">
      <c r="A66" s="233"/>
      <c r="B66" s="236"/>
      <c r="C66" s="236"/>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6"/>
      <c r="AL66" s="233"/>
      <c r="AM66" s="233"/>
      <c r="AN66" s="233"/>
      <c r="AO66" s="233"/>
      <c r="AP66" s="233"/>
      <c r="AQ66" s="233"/>
      <c r="AR66" s="233"/>
      <c r="AS66" s="233"/>
      <c r="AT66" s="233"/>
      <c r="AU66" s="233"/>
      <c r="AV66" s="233"/>
      <c r="AW66" s="233"/>
    </row>
    <row r="67" spans="1:49" ht="12.75" customHeight="1" x14ac:dyDescent="0.2">
      <c r="A67" s="233"/>
      <c r="B67" s="236"/>
      <c r="C67" s="236"/>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6"/>
      <c r="AL67" s="233"/>
      <c r="AM67" s="233"/>
      <c r="AN67" s="233"/>
      <c r="AO67" s="233"/>
      <c r="AP67" s="233"/>
      <c r="AQ67" s="233"/>
      <c r="AR67" s="233"/>
      <c r="AS67" s="233"/>
      <c r="AT67" s="233"/>
      <c r="AU67" s="233"/>
      <c r="AV67" s="233"/>
      <c r="AW67" s="233"/>
    </row>
    <row r="68" spans="1:49" ht="12.75" customHeight="1" x14ac:dyDescent="0.2">
      <c r="A68" s="233"/>
      <c r="B68" s="238"/>
      <c r="C68" s="238"/>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8"/>
      <c r="AL68" s="233"/>
      <c r="AM68" s="233"/>
      <c r="AN68" s="233"/>
      <c r="AO68" s="233"/>
      <c r="AP68" s="233"/>
      <c r="AQ68" s="233"/>
      <c r="AR68" s="233"/>
      <c r="AS68" s="233"/>
      <c r="AT68" s="233"/>
      <c r="AU68" s="233"/>
      <c r="AV68" s="233"/>
      <c r="AW68" s="233"/>
    </row>
    <row r="69" spans="1:49" ht="17.25" customHeight="1" x14ac:dyDescent="0.2">
      <c r="A69" s="233"/>
      <c r="B69" s="238"/>
      <c r="M69" s="242"/>
      <c r="N69" s="242"/>
      <c r="Y69" s="242"/>
      <c r="AK69" s="238"/>
      <c r="AL69" s="233"/>
      <c r="AM69" s="233"/>
      <c r="AN69" s="233"/>
      <c r="AO69" s="233"/>
      <c r="AP69" s="233"/>
      <c r="AQ69" s="233"/>
      <c r="AR69" s="233"/>
      <c r="AS69" s="233"/>
      <c r="AT69" s="233"/>
      <c r="AU69" s="233"/>
      <c r="AV69" s="233"/>
      <c r="AW69" s="233"/>
    </row>
    <row r="70" spans="1:49" ht="12.75" customHeight="1" x14ac:dyDescent="0.2">
      <c r="A70" s="233"/>
      <c r="B70" s="238"/>
      <c r="M70" s="239"/>
      <c r="N70" s="239"/>
      <c r="AK70" s="238"/>
      <c r="AL70" s="233"/>
      <c r="AM70" s="233"/>
      <c r="AN70" s="233"/>
      <c r="AO70" s="233"/>
      <c r="AP70" s="233"/>
      <c r="AQ70" s="233"/>
      <c r="AR70" s="233"/>
      <c r="AS70" s="233"/>
      <c r="AT70" s="233"/>
      <c r="AU70" s="233"/>
      <c r="AV70" s="233"/>
      <c r="AW70" s="233"/>
    </row>
    <row r="71" spans="1:49" ht="12.75" customHeight="1" x14ac:dyDescent="0.2">
      <c r="A71" s="233"/>
      <c r="B71" s="238"/>
      <c r="N71" s="239"/>
      <c r="Y71" s="608" t="str">
        <f>enterprise!$K$13</f>
        <v>Nombre del Ejecutivo</v>
      </c>
      <c r="Z71" s="608"/>
      <c r="AA71" s="608"/>
      <c r="AB71" s="608"/>
      <c r="AC71" s="608"/>
      <c r="AD71" s="608"/>
      <c r="AE71" s="608"/>
      <c r="AF71" s="608"/>
      <c r="AG71" s="608"/>
      <c r="AH71" s="608"/>
      <c r="AK71" s="238"/>
      <c r="AL71" s="233"/>
      <c r="AM71" s="233"/>
      <c r="AN71" s="233"/>
      <c r="AO71" s="233"/>
      <c r="AP71" s="233"/>
      <c r="AQ71" s="233"/>
      <c r="AR71" s="233"/>
      <c r="AS71" s="233"/>
      <c r="AT71" s="233"/>
      <c r="AU71" s="233"/>
      <c r="AV71" s="233"/>
      <c r="AW71" s="233"/>
    </row>
    <row r="72" spans="1:49" ht="12.75" customHeight="1" x14ac:dyDescent="0.2">
      <c r="A72" s="233"/>
      <c r="B72" s="238"/>
      <c r="C72" s="238"/>
      <c r="D72" s="239"/>
      <c r="E72" s="239"/>
      <c r="F72" s="239"/>
      <c r="G72" s="239"/>
      <c r="H72" s="239"/>
      <c r="I72" s="239"/>
      <c r="J72" s="239"/>
      <c r="K72" s="239"/>
      <c r="L72" s="239"/>
      <c r="N72" s="239"/>
      <c r="O72" s="239"/>
      <c r="P72" s="239"/>
      <c r="Q72" s="239"/>
      <c r="R72" s="239"/>
      <c r="S72" s="239"/>
      <c r="T72" s="239"/>
      <c r="U72" s="239"/>
      <c r="V72" s="239"/>
      <c r="W72" s="239"/>
      <c r="X72" s="239"/>
      <c r="Y72" s="609" t="str">
        <f>"Tel: " &amp; enterprise!$T$13</f>
        <v xml:space="preserve">Tel: </v>
      </c>
      <c r="Z72" s="609"/>
      <c r="AA72" s="609"/>
      <c r="AB72" s="609"/>
      <c r="AC72" s="609"/>
      <c r="AD72" s="609"/>
      <c r="AE72" s="609"/>
      <c r="AF72" s="609"/>
      <c r="AG72" s="609"/>
      <c r="AH72" s="609"/>
      <c r="AI72" s="243"/>
      <c r="AJ72" s="243"/>
      <c r="AK72" s="238"/>
      <c r="AL72" s="233"/>
      <c r="AM72" s="233"/>
      <c r="AN72" s="233"/>
      <c r="AO72" s="233"/>
      <c r="AP72" s="233"/>
      <c r="AQ72" s="233"/>
      <c r="AR72" s="233"/>
      <c r="AS72" s="233"/>
      <c r="AT72" s="233"/>
      <c r="AU72" s="233"/>
      <c r="AV72" s="233"/>
      <c r="AW72" s="233"/>
    </row>
    <row r="73" spans="1:49" ht="12.75" customHeight="1" x14ac:dyDescent="0.2">
      <c r="A73" s="233"/>
      <c r="B73" s="238"/>
      <c r="C73" s="238"/>
      <c r="D73" s="239"/>
      <c r="E73" s="239"/>
      <c r="F73" s="239"/>
      <c r="G73" s="239"/>
      <c r="H73" s="239"/>
      <c r="I73" s="239"/>
      <c r="J73" s="239"/>
      <c r="K73" s="239"/>
      <c r="L73" s="239"/>
      <c r="N73" s="239"/>
      <c r="O73" s="239"/>
      <c r="P73" s="239"/>
      <c r="Q73" s="239"/>
      <c r="R73" s="239"/>
      <c r="S73" s="239"/>
      <c r="T73" s="239"/>
      <c r="U73" s="239"/>
      <c r="V73" s="239"/>
      <c r="W73" s="239"/>
      <c r="X73" s="239"/>
      <c r="Y73" s="609" t="str">
        <f>enterprise!$K$14</f>
        <v>Correo Electrónico</v>
      </c>
      <c r="Z73" s="609"/>
      <c r="AA73" s="609"/>
      <c r="AB73" s="609"/>
      <c r="AC73" s="609"/>
      <c r="AD73" s="609"/>
      <c r="AE73" s="609"/>
      <c r="AF73" s="609"/>
      <c r="AG73" s="609"/>
      <c r="AH73" s="609"/>
      <c r="AI73" s="237"/>
      <c r="AJ73" s="237"/>
      <c r="AK73" s="238"/>
      <c r="AL73" s="233"/>
      <c r="AM73" s="233"/>
      <c r="AN73" s="233"/>
      <c r="AO73" s="233"/>
      <c r="AP73" s="233"/>
      <c r="AQ73" s="233"/>
      <c r="AR73" s="233"/>
      <c r="AS73" s="233"/>
      <c r="AT73" s="233"/>
      <c r="AU73" s="233"/>
      <c r="AV73" s="233"/>
      <c r="AW73" s="233"/>
    </row>
    <row r="74" spans="1:49" ht="12.75" customHeight="1" x14ac:dyDescent="0.2">
      <c r="A74" s="233"/>
      <c r="B74" s="238"/>
      <c r="C74" s="238"/>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8"/>
      <c r="AL74" s="233"/>
      <c r="AM74" s="233"/>
      <c r="AN74" s="233"/>
      <c r="AO74" s="233"/>
      <c r="AP74" s="233"/>
      <c r="AQ74" s="233"/>
      <c r="AR74" s="233"/>
      <c r="AS74" s="233"/>
      <c r="AT74" s="233"/>
      <c r="AU74" s="233"/>
      <c r="AV74" s="233"/>
      <c r="AW74" s="233"/>
    </row>
    <row r="75" spans="1:49" ht="12.75" customHeight="1" x14ac:dyDescent="0.2">
      <c r="A75" s="233"/>
      <c r="B75" s="238"/>
      <c r="C75" s="238"/>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K75" s="238"/>
      <c r="AL75" s="233"/>
      <c r="AM75" s="233"/>
      <c r="AN75" s="233"/>
      <c r="AO75" s="233"/>
      <c r="AP75" s="233"/>
      <c r="AQ75" s="233"/>
      <c r="AR75" s="233"/>
      <c r="AS75" s="233"/>
      <c r="AT75" s="233"/>
      <c r="AU75" s="233"/>
      <c r="AV75" s="233"/>
      <c r="AW75" s="233"/>
    </row>
    <row r="76" spans="1:49" ht="12.75" customHeight="1" x14ac:dyDescent="0.2">
      <c r="A76" s="233"/>
      <c r="B76" s="238"/>
      <c r="C76" s="245" t="s">
        <v>9</v>
      </c>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680">
        <f ca="1">NOW()</f>
        <v>44243.507407291669</v>
      </c>
      <c r="AB76" s="680"/>
      <c r="AC76" s="680"/>
      <c r="AD76" s="680"/>
      <c r="AE76" s="680"/>
      <c r="AF76" s="680"/>
      <c r="AG76" s="680"/>
      <c r="AH76" s="680"/>
      <c r="AI76" s="680"/>
      <c r="AJ76" s="680"/>
      <c r="AK76" s="238"/>
      <c r="AL76" s="233"/>
      <c r="AM76" s="233"/>
      <c r="AN76" s="233"/>
      <c r="AO76" s="233"/>
      <c r="AP76" s="233"/>
      <c r="AQ76" s="233"/>
      <c r="AR76" s="233"/>
      <c r="AS76" s="233"/>
      <c r="AT76" s="233"/>
      <c r="AU76" s="233"/>
      <c r="AV76" s="233"/>
      <c r="AW76" s="233"/>
    </row>
    <row r="77" spans="1:49" ht="12.75" customHeight="1" x14ac:dyDescent="0.2">
      <c r="A77" s="233"/>
      <c r="B77" s="238"/>
      <c r="C77" s="246" t="str">
        <f>Field_Contacto</f>
        <v>Nombre del contacto</v>
      </c>
      <c r="D77" s="247"/>
      <c r="E77" s="247"/>
      <c r="F77" s="247"/>
      <c r="G77" s="247"/>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8"/>
      <c r="AL77" s="233"/>
      <c r="AM77" s="233"/>
      <c r="AN77" s="233"/>
      <c r="AO77" s="233"/>
      <c r="AP77" s="233"/>
      <c r="AQ77" s="233"/>
      <c r="AR77" s="233"/>
      <c r="AS77" s="233"/>
      <c r="AT77" s="233"/>
      <c r="AU77" s="233"/>
      <c r="AV77" s="233"/>
      <c r="AW77" s="233"/>
    </row>
    <row r="78" spans="1:49" x14ac:dyDescent="0.2">
      <c r="A78" s="233"/>
      <c r="B78" s="238"/>
      <c r="C78" s="238"/>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8"/>
      <c r="AL78" s="233"/>
      <c r="AM78" s="233"/>
      <c r="AN78" s="233"/>
      <c r="AO78" s="233"/>
      <c r="AP78" s="233"/>
      <c r="AQ78" s="233"/>
      <c r="AR78" s="233"/>
      <c r="AS78" s="233"/>
      <c r="AT78" s="233"/>
      <c r="AU78" s="233"/>
      <c r="AV78" s="233"/>
      <c r="AW78" s="233"/>
    </row>
    <row r="79" spans="1:49" x14ac:dyDescent="0.2">
      <c r="A79" s="233"/>
      <c r="B79" s="238"/>
      <c r="C79" s="238" t="s">
        <v>10</v>
      </c>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8"/>
      <c r="AL79" s="233"/>
      <c r="AM79" s="233"/>
      <c r="AN79" s="233"/>
      <c r="AO79" s="233"/>
      <c r="AP79" s="233"/>
      <c r="AQ79" s="233"/>
      <c r="AR79" s="233"/>
      <c r="AS79" s="233"/>
      <c r="AT79" s="233"/>
      <c r="AU79" s="233"/>
      <c r="AV79" s="233"/>
      <c r="AW79" s="233"/>
    </row>
    <row r="80" spans="1:49" x14ac:dyDescent="0.2">
      <c r="A80" s="233"/>
      <c r="B80" s="238"/>
      <c r="C80" s="238" t="s">
        <v>11</v>
      </c>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8"/>
      <c r="AL80" s="233"/>
      <c r="AM80" s="233"/>
      <c r="AN80" s="233"/>
      <c r="AO80" s="233"/>
      <c r="AP80" s="233"/>
      <c r="AQ80" s="233"/>
      <c r="AR80" s="233"/>
      <c r="AS80" s="233"/>
      <c r="AT80" s="233"/>
      <c r="AU80" s="233"/>
      <c r="AV80" s="233"/>
      <c r="AW80" s="233"/>
    </row>
    <row r="81" spans="1:49" x14ac:dyDescent="0.2">
      <c r="A81" s="233"/>
      <c r="B81" s="238"/>
      <c r="C81" s="238"/>
      <c r="D81" s="239"/>
      <c r="E81" s="239"/>
      <c r="F81" s="239"/>
      <c r="G81" s="239"/>
      <c r="H81" s="239"/>
      <c r="I81" s="239"/>
      <c r="J81" s="239"/>
      <c r="K81" s="239"/>
      <c r="L81" s="239"/>
      <c r="M81" s="239"/>
      <c r="N81" s="239"/>
      <c r="O81" s="239"/>
      <c r="P81" s="239"/>
      <c r="Q81" s="237"/>
      <c r="R81" s="237"/>
      <c r="S81" s="237"/>
      <c r="T81" s="237"/>
      <c r="U81" s="237"/>
      <c r="V81" s="237"/>
      <c r="W81" s="237"/>
      <c r="X81" s="237"/>
      <c r="Y81" s="237"/>
      <c r="Z81" s="237"/>
      <c r="AA81" s="237"/>
      <c r="AB81" s="237"/>
      <c r="AC81" s="237"/>
      <c r="AD81" s="237"/>
      <c r="AE81" s="237"/>
      <c r="AF81" s="237"/>
      <c r="AG81" s="237"/>
      <c r="AH81" s="239"/>
      <c r="AI81" s="239"/>
      <c r="AJ81" s="239"/>
      <c r="AK81" s="238"/>
      <c r="AL81" s="233"/>
      <c r="AM81" s="233"/>
      <c r="AN81" s="233"/>
      <c r="AO81" s="233"/>
      <c r="AP81" s="233"/>
      <c r="AQ81" s="233"/>
      <c r="AR81" s="233"/>
      <c r="AS81" s="233"/>
      <c r="AT81" s="233"/>
      <c r="AU81" s="233"/>
      <c r="AV81" s="233"/>
      <c r="AW81" s="233"/>
    </row>
    <row r="82" spans="1:49" s="251" customFormat="1" ht="11.25" x14ac:dyDescent="0.15">
      <c r="A82" s="248"/>
      <c r="B82" s="249"/>
      <c r="C82" s="249"/>
      <c r="D82" s="252"/>
      <c r="E82" s="250" t="s">
        <v>12</v>
      </c>
      <c r="F82" s="252"/>
      <c r="G82" s="252"/>
      <c r="H82" s="252"/>
      <c r="I82" s="252"/>
      <c r="J82" s="252"/>
      <c r="K82" s="252"/>
      <c r="L82" s="252"/>
      <c r="M82" s="252"/>
      <c r="N82" s="252"/>
      <c r="O82" s="252"/>
      <c r="P82" s="252"/>
      <c r="Q82" s="681" t="str">
        <f>Field_Cliente</f>
        <v>Nombre del Cliente</v>
      </c>
      <c r="R82" s="682"/>
      <c r="S82" s="682"/>
      <c r="T82" s="682"/>
      <c r="U82" s="682"/>
      <c r="V82" s="682"/>
      <c r="W82" s="682"/>
      <c r="X82" s="682"/>
      <c r="Y82" s="682"/>
      <c r="Z82" s="682"/>
      <c r="AA82" s="682"/>
      <c r="AB82" s="682"/>
      <c r="AC82" s="682"/>
      <c r="AD82" s="682"/>
      <c r="AE82" s="682"/>
      <c r="AF82" s="682"/>
      <c r="AG82" s="682"/>
      <c r="AH82" s="252"/>
      <c r="AI82" s="252"/>
      <c r="AJ82" s="252"/>
      <c r="AK82" s="249"/>
      <c r="AL82" s="248"/>
      <c r="AM82" s="248"/>
      <c r="AN82" s="248"/>
      <c r="AO82" s="248"/>
      <c r="AP82" s="248"/>
      <c r="AQ82" s="248"/>
      <c r="AR82" s="248"/>
      <c r="AS82" s="248"/>
      <c r="AT82" s="248"/>
      <c r="AU82" s="248"/>
      <c r="AV82" s="248"/>
      <c r="AW82" s="248"/>
    </row>
    <row r="83" spans="1:49" s="251" customFormat="1" ht="11.25" x14ac:dyDescent="0.15">
      <c r="A83" s="248"/>
      <c r="B83" s="249"/>
      <c r="C83" s="249"/>
      <c r="D83" s="252"/>
      <c r="E83" s="252" t="s">
        <v>13</v>
      </c>
      <c r="F83" s="252"/>
      <c r="G83" s="252"/>
      <c r="H83" s="252"/>
      <c r="I83" s="252"/>
      <c r="J83" s="252"/>
      <c r="K83" s="252"/>
      <c r="L83" s="252"/>
      <c r="M83" s="252"/>
      <c r="N83" s="252"/>
      <c r="O83" s="252"/>
      <c r="P83" s="252"/>
      <c r="Q83" s="681" t="str">
        <f>Field_ProductoFinanciero</f>
        <v>Arrendamiento Financiero</v>
      </c>
      <c r="R83" s="682"/>
      <c r="S83" s="682"/>
      <c r="T83" s="682"/>
      <c r="U83" s="682"/>
      <c r="V83" s="682"/>
      <c r="W83" s="682"/>
      <c r="X83" s="682"/>
      <c r="Y83" s="682"/>
      <c r="Z83" s="253" t="str">
        <f>+IF(LEFT(Field_Moneda,3)="PES","MONEDA NACIONAL","DOLARES AMERICANOS")</f>
        <v>MONEDA NACIONAL</v>
      </c>
      <c r="AA83" s="250"/>
      <c r="AB83" s="254"/>
      <c r="AC83" s="254"/>
      <c r="AD83" s="252"/>
      <c r="AE83" s="254"/>
      <c r="AF83" s="254"/>
      <c r="AG83" s="254"/>
      <c r="AH83" s="254"/>
      <c r="AI83" s="252"/>
      <c r="AJ83" s="252"/>
      <c r="AK83" s="249"/>
      <c r="AL83" s="248"/>
      <c r="AM83" s="248"/>
      <c r="AN83" s="248"/>
      <c r="AO83" s="248"/>
      <c r="AP83" s="248"/>
      <c r="AQ83" s="248"/>
      <c r="AR83" s="248"/>
      <c r="AS83" s="248"/>
      <c r="AT83" s="248"/>
      <c r="AU83" s="248"/>
      <c r="AV83" s="248"/>
      <c r="AW83" s="248"/>
    </row>
    <row r="84" spans="1:49" s="251" customFormat="1" ht="11.25" x14ac:dyDescent="0.15">
      <c r="A84" s="248"/>
      <c r="B84" s="249"/>
      <c r="C84" s="249"/>
      <c r="D84" s="252"/>
      <c r="E84" s="252" t="s">
        <v>21</v>
      </c>
      <c r="F84" s="252"/>
      <c r="G84" s="252"/>
      <c r="H84" s="252"/>
      <c r="I84" s="252"/>
      <c r="J84" s="252"/>
      <c r="K84" s="252"/>
      <c r="L84" s="252"/>
      <c r="M84" s="252"/>
      <c r="N84" s="252"/>
      <c r="O84" s="252"/>
      <c r="P84" s="252"/>
      <c r="Q84" s="681" t="str">
        <f>Field_TipoEquipo</f>
        <v xml:space="preserve">Equipo de Transporte </v>
      </c>
      <c r="R84" s="682"/>
      <c r="S84" s="682"/>
      <c r="T84" s="682"/>
      <c r="U84" s="682"/>
      <c r="V84" s="682"/>
      <c r="W84" s="682"/>
      <c r="X84" s="682"/>
      <c r="Y84" s="682"/>
      <c r="Z84" s="682"/>
      <c r="AA84" s="682"/>
      <c r="AB84" s="682"/>
      <c r="AC84" s="682"/>
      <c r="AD84" s="682"/>
      <c r="AE84" s="682"/>
      <c r="AF84" s="682"/>
      <c r="AG84" s="682"/>
      <c r="AH84" s="252"/>
      <c r="AI84" s="252"/>
      <c r="AJ84" s="252"/>
      <c r="AK84" s="249"/>
      <c r="AL84" s="248"/>
      <c r="AM84" s="248"/>
      <c r="AN84" s="248"/>
      <c r="AO84" s="248"/>
      <c r="AP84" s="248"/>
      <c r="AQ84" s="248"/>
      <c r="AR84" s="248"/>
      <c r="AS84" s="248"/>
      <c r="AT84" s="248"/>
      <c r="AU84" s="248"/>
      <c r="AV84" s="248"/>
      <c r="AW84" s="248"/>
    </row>
    <row r="85" spans="1:49" s="251" customFormat="1" ht="11.25" x14ac:dyDescent="0.15">
      <c r="A85" s="248"/>
      <c r="B85" s="249"/>
      <c r="C85" s="249"/>
      <c r="D85" s="252"/>
      <c r="E85" s="252" t="s">
        <v>14</v>
      </c>
      <c r="F85" s="252"/>
      <c r="G85" s="252"/>
      <c r="H85" s="252"/>
      <c r="I85" s="252"/>
      <c r="J85" s="252"/>
      <c r="K85" s="252"/>
      <c r="L85" s="252"/>
      <c r="M85" s="252"/>
      <c r="N85" s="252"/>
      <c r="O85" s="252"/>
      <c r="P85" s="252"/>
      <c r="Q85" s="684">
        <f>Field_EquipoMontoTotal</f>
        <v>2740420.6896551726</v>
      </c>
      <c r="R85" s="684"/>
      <c r="S85" s="684"/>
      <c r="T85" s="684"/>
      <c r="U85" s="684"/>
      <c r="V85" s="684"/>
      <c r="W85" s="255"/>
      <c r="X85" s="256" t="s">
        <v>17</v>
      </c>
      <c r="Y85" s="255"/>
      <c r="Z85" s="255"/>
      <c r="AA85" s="255"/>
      <c r="AB85" s="255"/>
      <c r="AC85" s="255"/>
      <c r="AD85" s="255"/>
      <c r="AE85" s="255"/>
      <c r="AF85" s="255"/>
      <c r="AG85" s="255"/>
      <c r="AH85" s="252"/>
      <c r="AI85" s="252"/>
      <c r="AJ85" s="252"/>
      <c r="AK85" s="249"/>
      <c r="AL85" s="248"/>
      <c r="AM85" s="248"/>
      <c r="AN85" s="248"/>
      <c r="AO85" s="248"/>
      <c r="AP85" s="248"/>
      <c r="AQ85" s="248"/>
      <c r="AR85" s="248"/>
      <c r="AS85" s="248"/>
      <c r="AT85" s="248"/>
      <c r="AU85" s="248"/>
      <c r="AV85" s="248"/>
      <c r="AW85" s="248"/>
    </row>
    <row r="86" spans="1:49" s="251" customFormat="1" ht="11.25" x14ac:dyDescent="0.15">
      <c r="A86" s="248"/>
      <c r="B86" s="249"/>
      <c r="C86" s="249"/>
      <c r="D86" s="252"/>
      <c r="E86" s="252" t="s">
        <v>26</v>
      </c>
      <c r="F86" s="252"/>
      <c r="G86" s="252"/>
      <c r="H86" s="252"/>
      <c r="I86" s="252"/>
      <c r="J86" s="252"/>
      <c r="K86" s="252"/>
      <c r="L86" s="252"/>
      <c r="M86" s="252"/>
      <c r="N86" s="252"/>
      <c r="O86" s="252"/>
      <c r="P86" s="252"/>
      <c r="Q86" s="684">
        <f>Field_EquipoMontoTotal_masIVA</f>
        <v>3178888</v>
      </c>
      <c r="R86" s="684"/>
      <c r="S86" s="684"/>
      <c r="T86" s="684"/>
      <c r="U86" s="684"/>
      <c r="V86" s="684"/>
      <c r="W86" s="255"/>
      <c r="X86" s="256"/>
      <c r="Y86" s="255"/>
      <c r="Z86" s="255"/>
      <c r="AA86" s="255"/>
      <c r="AB86" s="255"/>
      <c r="AC86" s="255"/>
      <c r="AD86" s="255"/>
      <c r="AE86" s="255"/>
      <c r="AF86" s="255"/>
      <c r="AG86" s="255"/>
      <c r="AH86" s="252"/>
      <c r="AI86" s="252"/>
      <c r="AJ86" s="252"/>
      <c r="AK86" s="249"/>
      <c r="AL86" s="248"/>
      <c r="AM86" s="248"/>
      <c r="AN86" s="248"/>
      <c r="AO86" s="248"/>
      <c r="AP86" s="248"/>
      <c r="AQ86" s="248"/>
      <c r="AR86" s="248"/>
      <c r="AS86" s="248"/>
      <c r="AT86" s="248"/>
      <c r="AU86" s="248"/>
      <c r="AV86" s="248"/>
      <c r="AW86" s="248"/>
    </row>
    <row r="87" spans="1:49" s="251" customFormat="1" ht="11.25" x14ac:dyDescent="0.15">
      <c r="A87" s="248"/>
      <c r="B87" s="249"/>
      <c r="C87" s="249"/>
      <c r="D87" s="252"/>
      <c r="E87" s="252" t="s">
        <v>15</v>
      </c>
      <c r="F87" s="252"/>
      <c r="G87" s="252"/>
      <c r="H87" s="252"/>
      <c r="I87" s="252"/>
      <c r="J87" s="252"/>
      <c r="K87" s="252"/>
      <c r="L87" s="252"/>
      <c r="M87" s="252"/>
      <c r="N87" s="252"/>
      <c r="O87" s="252"/>
      <c r="P87" s="252"/>
      <c r="Q87" s="685" t="s">
        <v>16</v>
      </c>
      <c r="R87" s="685"/>
      <c r="S87" s="685"/>
      <c r="T87" s="685"/>
      <c r="U87" s="685"/>
      <c r="V87" s="685"/>
      <c r="W87" s="685"/>
      <c r="X87" s="685"/>
      <c r="Y87" s="685"/>
      <c r="Z87" s="685"/>
      <c r="AA87" s="685"/>
      <c r="AB87" s="685"/>
      <c r="AC87" s="685"/>
      <c r="AD87" s="685"/>
      <c r="AE87" s="685"/>
      <c r="AF87" s="685"/>
      <c r="AG87" s="685"/>
      <c r="AH87" s="252"/>
      <c r="AI87" s="252"/>
      <c r="AJ87" s="252"/>
      <c r="AK87" s="249"/>
      <c r="AL87" s="248"/>
      <c r="AM87" s="248"/>
      <c r="AN87" s="248"/>
      <c r="AO87" s="248"/>
      <c r="AP87" s="248"/>
      <c r="AQ87" s="248"/>
      <c r="AR87" s="248"/>
      <c r="AS87" s="248"/>
      <c r="AT87" s="248"/>
      <c r="AU87" s="248"/>
      <c r="AV87" s="248"/>
      <c r="AW87" s="248"/>
    </row>
    <row r="88" spans="1:49" s="251" customFormat="1" x14ac:dyDescent="0.2">
      <c r="A88" s="248"/>
      <c r="B88" s="238"/>
      <c r="C88" s="238"/>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8"/>
      <c r="AL88" s="248"/>
      <c r="AM88" s="248"/>
      <c r="AN88" s="248"/>
      <c r="AO88" s="248"/>
      <c r="AP88" s="248"/>
      <c r="AQ88" s="248"/>
      <c r="AR88" s="248"/>
      <c r="AS88" s="248"/>
      <c r="AT88" s="248"/>
      <c r="AU88" s="248"/>
      <c r="AV88" s="248"/>
      <c r="AW88" s="248"/>
    </row>
    <row r="89" spans="1:49" s="251" customFormat="1" x14ac:dyDescent="0.2">
      <c r="A89" s="248"/>
      <c r="B89" s="238"/>
      <c r="C89" s="238"/>
      <c r="D89" s="477" t="str">
        <f>"Equipo Cotizado en "&amp;+IF(LEFT(Field_MonEq,3)="PES","Moneda Nacional","Dólares Americanos")</f>
        <v>Equipo Cotizado en Moneda Nacional</v>
      </c>
      <c r="E89" s="239"/>
      <c r="F89" s="239"/>
      <c r="G89" s="239"/>
      <c r="H89" s="239"/>
      <c r="I89" s="239"/>
      <c r="J89" s="239"/>
      <c r="K89" s="239"/>
      <c r="L89" s="239"/>
      <c r="M89" s="239"/>
      <c r="N89" s="239"/>
      <c r="O89" s="239"/>
      <c r="P89" s="239"/>
      <c r="Q89" s="239"/>
      <c r="R89" s="234"/>
      <c r="S89" s="234"/>
      <c r="T89" s="239"/>
      <c r="U89" s="239"/>
      <c r="V89" s="239"/>
      <c r="W89" s="239"/>
      <c r="X89" s="239"/>
      <c r="Y89" s="239"/>
      <c r="Z89" s="239"/>
      <c r="AA89" s="239"/>
      <c r="AB89" s="478" t="str">
        <f t="shared" ref="AB89:AB94" si="1">IF(LEFT(Field_MonEq,3)="PES","","Tipo de Cambio")</f>
        <v/>
      </c>
      <c r="AC89" s="239"/>
      <c r="AD89" s="239"/>
      <c r="AE89" s="239"/>
      <c r="AF89" s="624" t="str">
        <f t="shared" ref="AF89:AF95" si="2">IF(LEFT(Field_MonEq,3)="PES","",Field_TC)</f>
        <v/>
      </c>
      <c r="AG89" s="624"/>
      <c r="AH89" s="624"/>
      <c r="AI89" s="239"/>
      <c r="AJ89" s="239"/>
      <c r="AK89" s="238"/>
      <c r="AL89" s="248"/>
      <c r="AM89" s="248"/>
      <c r="AN89" s="248"/>
      <c r="AO89" s="248"/>
      <c r="AP89" s="248"/>
      <c r="AQ89" s="248"/>
      <c r="AR89" s="248"/>
      <c r="AS89" s="248"/>
      <c r="AT89" s="248"/>
      <c r="AU89" s="248"/>
      <c r="AV89" s="248"/>
      <c r="AW89" s="248"/>
    </row>
    <row r="90" spans="1:49" s="251" customFormat="1" x14ac:dyDescent="0.2">
      <c r="A90" s="248"/>
      <c r="B90" s="473"/>
      <c r="C90" s="473"/>
      <c r="D90" s="614" t="s">
        <v>292</v>
      </c>
      <c r="E90" s="615"/>
      <c r="F90" s="615"/>
      <c r="G90" s="614" t="s">
        <v>54</v>
      </c>
      <c r="H90" s="615"/>
      <c r="I90" s="615"/>
      <c r="J90" s="615"/>
      <c r="K90" s="615"/>
      <c r="L90" s="615"/>
      <c r="M90" s="615"/>
      <c r="N90" s="615"/>
      <c r="O90" s="705"/>
      <c r="P90" s="614" t="s">
        <v>293</v>
      </c>
      <c r="Q90" s="615"/>
      <c r="R90" s="615"/>
      <c r="S90" s="615"/>
      <c r="T90" s="614" t="s">
        <v>294</v>
      </c>
      <c r="U90" s="615"/>
      <c r="V90" s="615"/>
      <c r="W90" s="615"/>
      <c r="X90" s="615"/>
      <c r="Y90" s="615"/>
      <c r="Z90" s="239"/>
      <c r="AA90" s="239"/>
      <c r="AB90" s="478" t="str">
        <f t="shared" si="1"/>
        <v/>
      </c>
      <c r="AC90" s="239"/>
      <c r="AD90" s="239"/>
      <c r="AE90" s="239"/>
      <c r="AF90" s="624" t="str">
        <f t="shared" si="2"/>
        <v/>
      </c>
      <c r="AG90" s="624"/>
      <c r="AH90" s="624"/>
      <c r="AI90" s="474"/>
      <c r="AJ90" s="474"/>
      <c r="AK90" s="473"/>
      <c r="AL90" s="248"/>
      <c r="AM90" s="248"/>
      <c r="AN90" s="248"/>
      <c r="AO90" s="248"/>
      <c r="AP90" s="248"/>
      <c r="AQ90" s="248"/>
      <c r="AR90" s="248"/>
      <c r="AS90" s="248"/>
      <c r="AT90" s="248"/>
      <c r="AU90" s="248"/>
      <c r="AV90" s="248"/>
      <c r="AW90" s="248"/>
    </row>
    <row r="91" spans="1:49" s="251" customFormat="1" x14ac:dyDescent="0.2">
      <c r="A91" s="248"/>
      <c r="B91" s="238"/>
      <c r="C91" s="238"/>
      <c r="D91" s="616">
        <f>enterprise!$F$26</f>
        <v>2</v>
      </c>
      <c r="E91" s="617"/>
      <c r="F91" s="617"/>
      <c r="G91" s="706" t="str">
        <f>IF(enterprise!G88 &lt;&gt;"",enterprise!$G$26,"")</f>
        <v>H500BC Bus Carrozado</v>
      </c>
      <c r="H91" s="707"/>
      <c r="I91" s="707"/>
      <c r="J91" s="707"/>
      <c r="K91" s="707"/>
      <c r="L91" s="707"/>
      <c r="M91" s="707"/>
      <c r="N91" s="707"/>
      <c r="O91" s="708"/>
      <c r="P91" s="637">
        <f>enterprise!$K$26</f>
        <v>991379.31034482771</v>
      </c>
      <c r="Q91" s="637"/>
      <c r="R91" s="637"/>
      <c r="S91" s="637"/>
      <c r="T91" s="637">
        <f>enterprise!$M$26</f>
        <v>1982758.6206896554</v>
      </c>
      <c r="U91" s="637"/>
      <c r="V91" s="637"/>
      <c r="W91" s="637"/>
      <c r="X91" s="637"/>
      <c r="Y91" s="709"/>
      <c r="Z91" s="239"/>
      <c r="AA91" s="239"/>
      <c r="AB91" s="478" t="str">
        <f t="shared" si="1"/>
        <v/>
      </c>
      <c r="AC91" s="239"/>
      <c r="AD91" s="239"/>
      <c r="AE91" s="239"/>
      <c r="AF91" s="624" t="str">
        <f t="shared" si="2"/>
        <v/>
      </c>
      <c r="AG91" s="624"/>
      <c r="AH91" s="624"/>
      <c r="AI91" s="239"/>
      <c r="AJ91" s="239"/>
      <c r="AK91" s="238"/>
      <c r="AL91" s="248"/>
      <c r="AM91" s="248"/>
      <c r="AN91" s="248"/>
      <c r="AO91" s="248"/>
      <c r="AP91" s="248"/>
      <c r="AQ91" s="248"/>
      <c r="AR91" s="248"/>
      <c r="AS91" s="248"/>
      <c r="AT91" s="248"/>
      <c r="AU91" s="248"/>
      <c r="AV91" s="248"/>
      <c r="AW91" s="248"/>
    </row>
    <row r="92" spans="1:49" s="251" customFormat="1" x14ac:dyDescent="0.2">
      <c r="A92" s="248"/>
      <c r="B92" s="238"/>
      <c r="C92" s="238"/>
      <c r="D92" s="611">
        <f>enterprise!$F$27</f>
        <v>1</v>
      </c>
      <c r="E92" s="612"/>
      <c r="F92" s="613"/>
      <c r="G92" s="686" t="str">
        <f>IF(enterprise!G89 &lt;&gt;"",enterprise!$G$27,"")</f>
        <v>Ex6 Chasis Cabina</v>
      </c>
      <c r="H92" s="686"/>
      <c r="I92" s="686"/>
      <c r="J92" s="686"/>
      <c r="K92" s="686"/>
      <c r="L92" s="686"/>
      <c r="M92" s="686"/>
      <c r="N92" s="686"/>
      <c r="O92" s="686"/>
      <c r="P92" s="635">
        <f>enterprise!$K$27</f>
        <v>757662.06896551733</v>
      </c>
      <c r="Q92" s="636"/>
      <c r="R92" s="636"/>
      <c r="S92" s="636"/>
      <c r="T92" s="636">
        <f>enterprise!$M$27</f>
        <v>757662.06896551733</v>
      </c>
      <c r="U92" s="636"/>
      <c r="V92" s="636"/>
      <c r="W92" s="636"/>
      <c r="X92" s="636"/>
      <c r="Y92" s="638"/>
      <c r="Z92" s="239"/>
      <c r="AA92" s="239"/>
      <c r="AB92" s="478" t="str">
        <f t="shared" si="1"/>
        <v/>
      </c>
      <c r="AC92" s="239"/>
      <c r="AD92" s="239"/>
      <c r="AE92" s="239"/>
      <c r="AF92" s="624" t="str">
        <f t="shared" si="2"/>
        <v/>
      </c>
      <c r="AG92" s="624"/>
      <c r="AH92" s="624"/>
      <c r="AI92" s="239"/>
      <c r="AJ92" s="239"/>
      <c r="AK92" s="238"/>
      <c r="AL92" s="248"/>
      <c r="AM92" s="248"/>
      <c r="AN92" s="248"/>
      <c r="AO92" s="248"/>
      <c r="AP92" s="248"/>
      <c r="AQ92" s="248"/>
      <c r="AR92" s="248"/>
      <c r="AS92" s="248"/>
      <c r="AT92" s="248"/>
      <c r="AU92" s="248"/>
      <c r="AV92" s="248"/>
      <c r="AW92" s="248"/>
    </row>
    <row r="93" spans="1:49" s="251" customFormat="1" x14ac:dyDescent="0.2">
      <c r="A93" s="248"/>
      <c r="B93" s="238"/>
      <c r="C93" s="238"/>
      <c r="D93" s="611">
        <f>enterprise!$F$28</f>
        <v>0</v>
      </c>
      <c r="E93" s="612"/>
      <c r="F93" s="613"/>
      <c r="G93" s="686">
        <f>IF(enterprise!G90 &lt;&gt;"",enterprise!$G$28,"")</f>
        <v>0</v>
      </c>
      <c r="H93" s="686"/>
      <c r="I93" s="686"/>
      <c r="J93" s="686"/>
      <c r="K93" s="686"/>
      <c r="L93" s="686"/>
      <c r="M93" s="686"/>
      <c r="N93" s="686"/>
      <c r="O93" s="686"/>
      <c r="P93" s="635" t="str">
        <f>enterprise!$K$28</f>
        <v/>
      </c>
      <c r="Q93" s="636"/>
      <c r="R93" s="636"/>
      <c r="S93" s="636"/>
      <c r="T93" s="636">
        <f>enterprise!$M$28</f>
        <v>0</v>
      </c>
      <c r="U93" s="636"/>
      <c r="V93" s="636"/>
      <c r="W93" s="636"/>
      <c r="X93" s="636"/>
      <c r="Y93" s="638"/>
      <c r="Z93" s="239"/>
      <c r="AA93" s="239"/>
      <c r="AB93" s="478" t="str">
        <f t="shared" si="1"/>
        <v/>
      </c>
      <c r="AC93" s="239"/>
      <c r="AD93" s="239"/>
      <c r="AE93" s="239"/>
      <c r="AF93" s="624" t="str">
        <f t="shared" si="2"/>
        <v/>
      </c>
      <c r="AG93" s="624"/>
      <c r="AH93" s="624"/>
      <c r="AI93" s="239"/>
      <c r="AJ93" s="239"/>
      <c r="AK93" s="238"/>
      <c r="AL93" s="248"/>
      <c r="AM93" s="248"/>
      <c r="AN93" s="248"/>
      <c r="AO93" s="248"/>
      <c r="AP93" s="248"/>
      <c r="AQ93" s="248"/>
      <c r="AR93" s="248"/>
      <c r="AS93" s="248"/>
      <c r="AT93" s="248"/>
      <c r="AU93" s="248"/>
      <c r="AV93" s="248"/>
      <c r="AW93" s="248"/>
    </row>
    <row r="94" spans="1:49" s="251" customFormat="1" x14ac:dyDescent="0.2">
      <c r="A94" s="248"/>
      <c r="B94" s="238"/>
      <c r="C94" s="238"/>
      <c r="D94" s="618">
        <f>enterprise!$F$29</f>
        <v>0</v>
      </c>
      <c r="E94" s="619"/>
      <c r="F94" s="620"/>
      <c r="G94" s="687">
        <f>IF(enterprise!G91 &lt;&gt;"",enterprise!$G$29,"")</f>
        <v>0</v>
      </c>
      <c r="H94" s="687"/>
      <c r="I94" s="687"/>
      <c r="J94" s="687"/>
      <c r="K94" s="687"/>
      <c r="L94" s="687"/>
      <c r="M94" s="687"/>
      <c r="N94" s="687"/>
      <c r="O94" s="687"/>
      <c r="P94" s="621" t="str">
        <f>enterprise!$K$29</f>
        <v/>
      </c>
      <c r="Q94" s="622"/>
      <c r="R94" s="622"/>
      <c r="S94" s="622"/>
      <c r="T94" s="622">
        <f>enterprise!$M$29</f>
        <v>0</v>
      </c>
      <c r="U94" s="622"/>
      <c r="V94" s="622"/>
      <c r="W94" s="622"/>
      <c r="X94" s="622"/>
      <c r="Y94" s="623"/>
      <c r="Z94" s="239"/>
      <c r="AA94" s="239"/>
      <c r="AB94" s="478" t="str">
        <f t="shared" si="1"/>
        <v/>
      </c>
      <c r="AC94" s="239"/>
      <c r="AD94" s="239"/>
      <c r="AE94" s="239"/>
      <c r="AF94" s="624" t="str">
        <f t="shared" si="2"/>
        <v/>
      </c>
      <c r="AG94" s="624"/>
      <c r="AH94" s="624"/>
      <c r="AI94" s="239"/>
      <c r="AJ94" s="239"/>
      <c r="AK94" s="238"/>
      <c r="AL94" s="248"/>
      <c r="AM94" s="248"/>
      <c r="AN94" s="248"/>
      <c r="AO94" s="248"/>
      <c r="AP94" s="248"/>
      <c r="AQ94" s="248"/>
      <c r="AR94" s="248"/>
      <c r="AS94" s="248"/>
      <c r="AT94" s="248"/>
      <c r="AU94" s="248"/>
      <c r="AV94" s="248"/>
      <c r="AW94" s="248"/>
    </row>
    <row r="95" spans="1:49" s="251" customFormat="1" x14ac:dyDescent="0.2">
      <c r="A95" s="248"/>
      <c r="B95" s="238"/>
      <c r="C95" s="238"/>
      <c r="D95" s="238"/>
      <c r="E95" s="238"/>
      <c r="F95" s="238"/>
      <c r="G95" s="238"/>
      <c r="H95" s="238"/>
      <c r="I95" s="238"/>
      <c r="J95" s="238"/>
      <c r="K95" s="238"/>
      <c r="L95" s="238"/>
      <c r="M95" s="238"/>
      <c r="N95" s="238"/>
      <c r="O95" s="238"/>
      <c r="P95" s="238"/>
      <c r="Q95" s="238"/>
      <c r="R95" s="476" t="s">
        <v>294</v>
      </c>
      <c r="S95" s="245"/>
      <c r="T95" s="632">
        <f>enterprise!$M$30</f>
        <v>2740420.6896551726</v>
      </c>
      <c r="U95" s="633"/>
      <c r="V95" s="633"/>
      <c r="W95" s="633"/>
      <c r="X95" s="633"/>
      <c r="Y95" s="634"/>
      <c r="Z95" s="639" t="str">
        <f>+IF(LEFT(Field_MonEq,3)="PES","MXN","USD")</f>
        <v>MXN</v>
      </c>
      <c r="AA95" s="640"/>
      <c r="AB95" s="245"/>
      <c r="AC95" s="239"/>
      <c r="AD95" s="239"/>
      <c r="AE95" s="239"/>
      <c r="AF95" s="624" t="str">
        <f t="shared" si="2"/>
        <v/>
      </c>
      <c r="AG95" s="624"/>
      <c r="AH95" s="624"/>
      <c r="AI95" s="486"/>
      <c r="AJ95" s="486"/>
      <c r="AK95" s="238"/>
      <c r="AL95" s="248"/>
      <c r="AM95" s="248"/>
      <c r="AN95" s="248"/>
      <c r="AO95" s="248"/>
      <c r="AP95" s="248"/>
      <c r="AQ95" s="248"/>
      <c r="AR95" s="248"/>
      <c r="AS95" s="248"/>
      <c r="AT95" s="248"/>
      <c r="AU95" s="248"/>
      <c r="AV95" s="248"/>
      <c r="AW95" s="248"/>
    </row>
    <row r="96" spans="1:49" s="251" customFormat="1" x14ac:dyDescent="0.2">
      <c r="A96" s="248"/>
      <c r="B96" s="238"/>
      <c r="C96" s="238"/>
      <c r="D96" s="239"/>
      <c r="E96" s="239"/>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39"/>
      <c r="AE96" s="239"/>
      <c r="AF96" s="239"/>
      <c r="AG96" s="239"/>
      <c r="AH96" s="239"/>
      <c r="AI96" s="239"/>
      <c r="AJ96" s="239"/>
      <c r="AK96" s="238"/>
      <c r="AL96" s="248"/>
      <c r="AM96" s="248"/>
      <c r="AN96" s="248"/>
      <c r="AO96" s="248"/>
      <c r="AP96" s="248"/>
      <c r="AQ96" s="248"/>
      <c r="AR96" s="248"/>
      <c r="AS96" s="248"/>
      <c r="AT96" s="248"/>
      <c r="AU96" s="248"/>
      <c r="AV96" s="248"/>
      <c r="AW96" s="248"/>
    </row>
    <row r="97" spans="1:49" s="251" customFormat="1" ht="11.25" x14ac:dyDescent="0.15">
      <c r="A97" s="248"/>
      <c r="B97" s="249"/>
      <c r="C97" s="249"/>
      <c r="D97" s="252"/>
      <c r="E97" s="252"/>
      <c r="F97" s="252"/>
      <c r="G97" s="252"/>
      <c r="H97" s="252"/>
      <c r="I97" s="252"/>
      <c r="J97" s="252"/>
      <c r="K97" s="252"/>
      <c r="L97" s="252"/>
      <c r="M97" s="252"/>
      <c r="N97" s="252"/>
      <c r="O97" s="252"/>
      <c r="P97" s="252"/>
      <c r="Q97" s="460"/>
      <c r="R97" s="460"/>
      <c r="S97" s="460"/>
      <c r="T97" s="460"/>
      <c r="U97" s="460"/>
      <c r="V97" s="460"/>
      <c r="W97" s="460"/>
      <c r="X97" s="460"/>
      <c r="Y97" s="460"/>
      <c r="Z97" s="460"/>
      <c r="AA97" s="460"/>
      <c r="AB97" s="460"/>
      <c r="AC97" s="460"/>
      <c r="AD97" s="460"/>
      <c r="AE97" s="460"/>
      <c r="AF97" s="460"/>
      <c r="AG97" s="460"/>
      <c r="AH97" s="252"/>
      <c r="AI97" s="252"/>
      <c r="AJ97" s="252"/>
      <c r="AK97" s="249"/>
      <c r="AL97" s="248"/>
      <c r="AM97" s="248"/>
      <c r="AN97" s="248"/>
      <c r="AO97" s="248"/>
      <c r="AP97" s="248"/>
      <c r="AQ97" s="248"/>
      <c r="AR97" s="248"/>
      <c r="AS97" s="248"/>
      <c r="AT97" s="248"/>
      <c r="AU97" s="248"/>
      <c r="AV97" s="248"/>
      <c r="AW97" s="248"/>
    </row>
    <row r="98" spans="1:49" x14ac:dyDescent="0.2">
      <c r="A98" s="233"/>
      <c r="B98" s="238"/>
      <c r="C98" s="238"/>
      <c r="D98" s="250" t="s">
        <v>25</v>
      </c>
      <c r="E98" s="257"/>
      <c r="F98" s="257"/>
      <c r="G98" s="257"/>
      <c r="H98" s="257"/>
      <c r="I98" s="257"/>
      <c r="J98" s="284"/>
      <c r="K98" s="284"/>
      <c r="L98" s="676">
        <f ca="1">IFERROR(INDIRECT("Field_Plazo" &amp; Field_Pos_1),0)</f>
        <v>24</v>
      </c>
      <c r="M98" s="677"/>
      <c r="N98" s="677"/>
      <c r="O98" s="678" t="str">
        <f ca="1">IF(L98&gt;0,"MESES",0)</f>
        <v>MESES</v>
      </c>
      <c r="P98" s="678"/>
      <c r="Q98" s="678"/>
      <c r="R98" s="704"/>
      <c r="S98" s="258"/>
      <c r="T98" s="676">
        <f ca="1">IFERROR(INDIRECT("Field_Plazo" &amp; Field_Pos_2),0)</f>
        <v>36</v>
      </c>
      <c r="U98" s="677"/>
      <c r="V98" s="677"/>
      <c r="W98" s="678" t="str">
        <f ca="1">IF(T98&gt;0,"MESES",0)</f>
        <v>MESES</v>
      </c>
      <c r="X98" s="678"/>
      <c r="Y98" s="678"/>
      <c r="Z98" s="704"/>
      <c r="AA98" s="259"/>
      <c r="AB98" s="676">
        <f ca="1">IFERROR(INDIRECT("Field_Plazo" &amp; Field_Pos_3),0)</f>
        <v>48</v>
      </c>
      <c r="AC98" s="677"/>
      <c r="AD98" s="677"/>
      <c r="AE98" s="678" t="str">
        <f ca="1">IF(AB98&gt;0,"MESES",0)</f>
        <v>MESES</v>
      </c>
      <c r="AF98" s="678"/>
      <c r="AG98" s="678"/>
      <c r="AH98" s="704"/>
      <c r="AI98" s="260"/>
      <c r="AJ98" s="237"/>
      <c r="AK98" s="238"/>
      <c r="AL98" s="233"/>
      <c r="AM98" s="233"/>
      <c r="AN98" s="233"/>
      <c r="AO98" s="233"/>
      <c r="AP98" s="233"/>
      <c r="AQ98" s="233"/>
      <c r="AR98" s="233"/>
      <c r="AS98" s="233"/>
      <c r="AT98" s="233"/>
      <c r="AU98" s="233"/>
      <c r="AV98" s="233"/>
      <c r="AW98" s="233"/>
    </row>
    <row r="99" spans="1:49" x14ac:dyDescent="0.2">
      <c r="A99" s="233"/>
      <c r="B99" s="238"/>
      <c r="C99" s="238"/>
      <c r="D99" s="252"/>
      <c r="E99" s="257"/>
      <c r="F99" s="257"/>
      <c r="G99" s="257"/>
      <c r="H99" s="257"/>
      <c r="I99" s="257"/>
      <c r="J99" s="284"/>
      <c r="K99" s="284"/>
      <c r="L99" s="285"/>
      <c r="M99" s="286"/>
      <c r="N99" s="286"/>
      <c r="O99" s="286"/>
      <c r="P99" s="286"/>
      <c r="Q99" s="286"/>
      <c r="R99" s="287"/>
      <c r="S99" s="286"/>
      <c r="T99" s="285"/>
      <c r="U99" s="286"/>
      <c r="V99" s="286"/>
      <c r="W99" s="286"/>
      <c r="X99" s="286"/>
      <c r="Y99" s="286"/>
      <c r="Z99" s="287"/>
      <c r="AA99" s="259"/>
      <c r="AB99" s="288"/>
      <c r="AC99" s="289"/>
      <c r="AD99" s="289"/>
      <c r="AE99" s="289"/>
      <c r="AF99" s="289"/>
      <c r="AG99" s="289"/>
      <c r="AH99" s="290"/>
      <c r="AI99" s="260"/>
      <c r="AJ99" s="237"/>
      <c r="AK99" s="238"/>
      <c r="AL99" s="233"/>
      <c r="AM99" s="233"/>
      <c r="AN99" s="233"/>
      <c r="AO99" s="233"/>
      <c r="AP99" s="233"/>
      <c r="AQ99" s="233"/>
      <c r="AR99" s="233"/>
      <c r="AS99" s="233"/>
      <c r="AT99" s="233"/>
      <c r="AU99" s="233"/>
      <c r="AV99" s="233"/>
      <c r="AW99" s="233"/>
    </row>
    <row r="100" spans="1:49" x14ac:dyDescent="0.2">
      <c r="A100" s="233"/>
      <c r="B100" s="238"/>
      <c r="C100" s="238"/>
      <c r="D100" s="257" t="s">
        <v>50</v>
      </c>
      <c r="E100" s="261"/>
      <c r="F100" s="257"/>
      <c r="G100" s="257"/>
      <c r="H100" s="257"/>
      <c r="I100" s="257"/>
      <c r="J100" s="284"/>
      <c r="K100" s="284"/>
      <c r="L100" s="701">
        <f ca="1">IFERROR(INDIRECT("Field_Renta_f" &amp; Field_Pos_1),0)</f>
        <v>116677.73363441166</v>
      </c>
      <c r="M100" s="702"/>
      <c r="N100" s="702"/>
      <c r="O100" s="702"/>
      <c r="P100" s="702"/>
      <c r="Q100" s="702"/>
      <c r="R100" s="703"/>
      <c r="S100" s="262"/>
      <c r="T100" s="691">
        <f ca="1">IFERROR(INDIRECT("Field_Renta_f" &amp; Field_Pos_2),0)</f>
        <v>82805.363571820868</v>
      </c>
      <c r="U100" s="650"/>
      <c r="V100" s="650"/>
      <c r="W100" s="650"/>
      <c r="X100" s="650"/>
      <c r="Y100" s="650"/>
      <c r="Z100" s="656"/>
      <c r="AA100" s="263"/>
      <c r="AB100" s="691">
        <f ca="1">IFERROR(INDIRECT("Field_Renta_f" &amp; Field_Pos_3),0)</f>
        <v>66166.762319021247</v>
      </c>
      <c r="AC100" s="650"/>
      <c r="AD100" s="650"/>
      <c r="AE100" s="650"/>
      <c r="AF100" s="650"/>
      <c r="AG100" s="650"/>
      <c r="AH100" s="656"/>
      <c r="AI100" s="264"/>
      <c r="AJ100" s="237"/>
      <c r="AK100" s="238"/>
      <c r="AL100" s="233"/>
      <c r="AM100" s="233"/>
      <c r="AN100" s="233"/>
      <c r="AO100" s="233"/>
      <c r="AP100" s="233"/>
      <c r="AQ100" s="233"/>
      <c r="AR100" s="233"/>
      <c r="AS100" s="233"/>
      <c r="AT100" s="233"/>
      <c r="AU100" s="233"/>
      <c r="AV100" s="233"/>
      <c r="AW100" s="233"/>
    </row>
    <row r="101" spans="1:49" x14ac:dyDescent="0.2">
      <c r="A101" s="233"/>
      <c r="B101" s="238"/>
      <c r="C101" s="238"/>
      <c r="D101" s="257" t="s">
        <v>24</v>
      </c>
      <c r="E101" s="261"/>
      <c r="F101" s="257"/>
      <c r="G101" s="257"/>
      <c r="H101" s="257"/>
      <c r="I101" s="257"/>
      <c r="J101" s="284"/>
      <c r="K101" s="284"/>
      <c r="L101" s="291"/>
      <c r="M101" s="262"/>
      <c r="N101" s="650">
        <f ca="1">IFERROR(INDIRECT("Field_Seguro" &amp; Field_Pos_1),0)</f>
        <v>0</v>
      </c>
      <c r="O101" s="650"/>
      <c r="P101" s="650"/>
      <c r="Q101" s="650"/>
      <c r="R101" s="656"/>
      <c r="S101" s="262"/>
      <c r="T101" s="291"/>
      <c r="U101" s="262"/>
      <c r="V101" s="650">
        <f ca="1">IFERROR(INDIRECT("Field_Seguro" &amp; Field_Pos_2),0)</f>
        <v>0</v>
      </c>
      <c r="W101" s="650"/>
      <c r="X101" s="650"/>
      <c r="Y101" s="650"/>
      <c r="Z101" s="656"/>
      <c r="AA101" s="263"/>
      <c r="AB101" s="292"/>
      <c r="AC101" s="293"/>
      <c r="AD101" s="650">
        <f ca="1">IFERROR(INDIRECT("Field_Seguro" &amp; Field_Pos_3),0)</f>
        <v>0</v>
      </c>
      <c r="AE101" s="650"/>
      <c r="AF101" s="650"/>
      <c r="AG101" s="650"/>
      <c r="AH101" s="656"/>
      <c r="AI101" s="264"/>
      <c r="AJ101" s="237"/>
      <c r="AK101" s="238"/>
      <c r="AL101" s="233"/>
      <c r="AM101" s="233"/>
      <c r="AN101" s="233"/>
      <c r="AO101" s="233"/>
      <c r="AP101" s="233"/>
      <c r="AQ101" s="233"/>
      <c r="AR101" s="233"/>
      <c r="AS101" s="233"/>
      <c r="AT101" s="233"/>
      <c r="AU101" s="233"/>
      <c r="AV101" s="233"/>
      <c r="AW101" s="233"/>
    </row>
    <row r="102" spans="1:49" x14ac:dyDescent="0.2">
      <c r="A102" s="233"/>
      <c r="B102" s="238"/>
      <c r="C102" s="238"/>
      <c r="D102" s="252" t="s">
        <v>7</v>
      </c>
      <c r="E102" s="261"/>
      <c r="F102" s="252"/>
      <c r="G102" s="252"/>
      <c r="H102" s="252"/>
      <c r="I102" s="252"/>
      <c r="J102" s="239"/>
      <c r="K102" s="239"/>
      <c r="L102" s="294"/>
      <c r="M102" s="295"/>
      <c r="N102" s="661">
        <f ca="1">IFERROR(INDIRECT("Field_TasaNom_Fin_"&amp;Field_Pos_1),0)</f>
        <v>0.125</v>
      </c>
      <c r="O102" s="661"/>
      <c r="P102" s="661"/>
      <c r="Q102" s="661"/>
      <c r="R102" s="662"/>
      <c r="S102" s="296"/>
      <c r="T102" s="297"/>
      <c r="U102" s="298"/>
      <c r="V102" s="661">
        <f ca="1">IFERROR(INDIRECT("Field_TasaNom_Fin_"&amp;Field_Pos_2),0)</f>
        <v>0.1275</v>
      </c>
      <c r="W102" s="661"/>
      <c r="X102" s="661"/>
      <c r="Y102" s="661"/>
      <c r="Z102" s="662"/>
      <c r="AA102" s="299"/>
      <c r="AB102" s="300"/>
      <c r="AC102" s="301"/>
      <c r="AD102" s="661">
        <f ca="1">IFERROR(INDIRECT("Field_TasaNom_Fin_"&amp;Field_Pos_3),0)</f>
        <v>0.13</v>
      </c>
      <c r="AE102" s="661"/>
      <c r="AF102" s="661"/>
      <c r="AG102" s="661"/>
      <c r="AH102" s="662"/>
      <c r="AI102" s="264"/>
      <c r="AJ102" s="237"/>
      <c r="AK102" s="238"/>
      <c r="AL102" s="233"/>
      <c r="AM102" s="233"/>
      <c r="AN102" s="244"/>
      <c r="AO102" s="233"/>
      <c r="AP102" s="233"/>
      <c r="AQ102" s="233"/>
      <c r="AR102" s="233"/>
      <c r="AS102" s="233"/>
      <c r="AT102" s="233"/>
      <c r="AU102" s="233"/>
      <c r="AV102" s="233"/>
      <c r="AW102" s="233"/>
    </row>
    <row r="103" spans="1:49" x14ac:dyDescent="0.2">
      <c r="A103" s="233"/>
      <c r="B103" s="238"/>
      <c r="C103" s="238"/>
      <c r="D103" s="252"/>
      <c r="E103" s="257"/>
      <c r="F103" s="257"/>
      <c r="G103" s="257"/>
      <c r="H103" s="257"/>
      <c r="I103" s="257"/>
      <c r="J103" s="284"/>
      <c r="K103" s="284"/>
      <c r="L103" s="271"/>
      <c r="M103" s="271"/>
      <c r="N103" s="271"/>
      <c r="O103" s="271"/>
      <c r="P103" s="271"/>
      <c r="Q103" s="271"/>
      <c r="R103" s="271"/>
      <c r="S103" s="271"/>
      <c r="T103" s="271"/>
      <c r="U103" s="271"/>
      <c r="V103" s="271"/>
      <c r="W103" s="271"/>
      <c r="X103" s="271"/>
      <c r="Y103" s="271"/>
      <c r="Z103" s="271"/>
      <c r="AA103" s="263"/>
      <c r="AB103" s="272"/>
      <c r="AC103" s="272"/>
      <c r="AD103" s="272"/>
      <c r="AE103" s="272"/>
      <c r="AF103" s="272"/>
      <c r="AG103" s="272"/>
      <c r="AH103" s="272"/>
      <c r="AI103" s="264"/>
      <c r="AJ103" s="237"/>
      <c r="AK103" s="238"/>
      <c r="AL103" s="233"/>
      <c r="AM103" s="233"/>
      <c r="AN103" s="233"/>
      <c r="AO103" s="233"/>
      <c r="AP103" s="233"/>
      <c r="AQ103" s="233"/>
      <c r="AR103" s="233"/>
      <c r="AS103" s="233"/>
      <c r="AT103" s="233"/>
      <c r="AU103" s="233"/>
      <c r="AV103" s="233"/>
      <c r="AW103" s="233"/>
    </row>
    <row r="104" spans="1:49" x14ac:dyDescent="0.2">
      <c r="A104" s="233"/>
      <c r="B104" s="238"/>
      <c r="D104" s="250" t="s">
        <v>82</v>
      </c>
      <c r="E104" s="257"/>
      <c r="F104" s="257"/>
      <c r="G104" s="257"/>
      <c r="H104" s="257"/>
      <c r="I104" s="257"/>
      <c r="J104" s="257"/>
      <c r="K104" s="257"/>
      <c r="L104" s="663">
        <f ca="1">SUM(N105:R108)</f>
        <v>44606.310344827587</v>
      </c>
      <c r="M104" s="664"/>
      <c r="N104" s="664"/>
      <c r="O104" s="664"/>
      <c r="P104" s="664"/>
      <c r="Q104" s="664"/>
      <c r="R104" s="700"/>
      <c r="S104" s="273"/>
      <c r="T104" s="663">
        <f ca="1">SUM(V105:Z108)</f>
        <v>44606.310344827587</v>
      </c>
      <c r="U104" s="664"/>
      <c r="V104" s="664"/>
      <c r="W104" s="664"/>
      <c r="X104" s="664"/>
      <c r="Y104" s="664"/>
      <c r="Z104" s="700"/>
      <c r="AA104" s="263"/>
      <c r="AB104" s="663">
        <f ca="1">SUM(AD105:AH108)</f>
        <v>44606.310344827587</v>
      </c>
      <c r="AC104" s="664"/>
      <c r="AD104" s="664"/>
      <c r="AE104" s="664"/>
      <c r="AF104" s="664"/>
      <c r="AG104" s="664"/>
      <c r="AH104" s="700"/>
      <c r="AI104" s="264"/>
      <c r="AJ104" s="237"/>
      <c r="AK104" s="238"/>
      <c r="AL104" s="233"/>
      <c r="AM104" s="233"/>
      <c r="AN104" s="233"/>
      <c r="AO104" s="233"/>
      <c r="AP104" s="233"/>
      <c r="AQ104" s="233"/>
      <c r="AR104" s="233"/>
      <c r="AS104" s="233"/>
      <c r="AT104" s="233"/>
      <c r="AU104" s="233"/>
      <c r="AV104" s="233"/>
      <c r="AW104" s="233"/>
    </row>
    <row r="105" spans="1:49" x14ac:dyDescent="0.2">
      <c r="A105" s="233"/>
      <c r="B105" s="238"/>
      <c r="C105" s="238"/>
      <c r="D105" s="257" t="s">
        <v>23</v>
      </c>
      <c r="E105" s="261"/>
      <c r="F105" s="257"/>
      <c r="G105" s="257"/>
      <c r="H105" s="257"/>
      <c r="I105" s="257"/>
      <c r="J105" s="284"/>
      <c r="K105" s="284"/>
      <c r="L105" s="659">
        <f ca="1">IFERROR(INDIRECT("Field_ComisionAp_F"&amp;Field_Pos_1),0)</f>
        <v>1.4999999999999999E-2</v>
      </c>
      <c r="M105" s="660"/>
      <c r="N105" s="697">
        <f ca="1">(Q85-N108+N101)*L105</f>
        <v>41106.310344827587</v>
      </c>
      <c r="O105" s="698"/>
      <c r="P105" s="698"/>
      <c r="Q105" s="698"/>
      <c r="R105" s="699"/>
      <c r="S105" s="262"/>
      <c r="T105" s="659">
        <f ca="1">IFERROR(INDIRECT("Field_ComisionAp_F"&amp;Field_Pos_2),0)</f>
        <v>1.4999999999999999E-2</v>
      </c>
      <c r="U105" s="660"/>
      <c r="V105" s="697">
        <f ca="1">(Q85-V108+V101)*T105</f>
        <v>41106.310344827587</v>
      </c>
      <c r="W105" s="698"/>
      <c r="X105" s="698"/>
      <c r="Y105" s="698"/>
      <c r="Z105" s="699"/>
      <c r="AA105" s="263"/>
      <c r="AB105" s="659">
        <f ca="1">IFERROR(INDIRECT("Field_ComisionAp_F"&amp;Field_Pos_3),0)</f>
        <v>1.4999999999999999E-2</v>
      </c>
      <c r="AC105" s="660"/>
      <c r="AD105" s="697">
        <f ca="1">(Q85-AD108+AD101)*AB105</f>
        <v>41106.310344827587</v>
      </c>
      <c r="AE105" s="698"/>
      <c r="AF105" s="698"/>
      <c r="AG105" s="698"/>
      <c r="AH105" s="699"/>
      <c r="AI105" s="264"/>
      <c r="AJ105" s="237"/>
      <c r="AK105" s="238"/>
      <c r="AL105" s="233"/>
      <c r="AM105" s="233"/>
      <c r="AN105" s="233"/>
      <c r="AO105" s="233"/>
      <c r="AP105" s="233"/>
      <c r="AQ105" s="233"/>
      <c r="AR105" s="233"/>
      <c r="AS105" s="233"/>
      <c r="AT105" s="233"/>
      <c r="AU105" s="233"/>
      <c r="AV105" s="233"/>
      <c r="AW105" s="233"/>
    </row>
    <row r="106" spans="1:49" x14ac:dyDescent="0.2">
      <c r="A106" s="233"/>
      <c r="B106" s="238"/>
      <c r="C106" s="238"/>
      <c r="D106" s="252" t="s">
        <v>83</v>
      </c>
      <c r="E106" s="257"/>
      <c r="F106" s="257"/>
      <c r="G106" s="257"/>
      <c r="H106" s="257"/>
      <c r="I106" s="257"/>
      <c r="J106" s="284"/>
      <c r="K106" s="284"/>
      <c r="L106" s="654">
        <f ca="1">IFERROR(INDIRECT("Field_RentasDep_F"&amp;Field_Pos_1),0)</f>
        <v>0</v>
      </c>
      <c r="M106" s="655"/>
      <c r="N106" s="691">
        <f ca="1">IF(Field_Num_PlazosSel&gt;2,L100*L106,-1)</f>
        <v>0</v>
      </c>
      <c r="O106" s="650"/>
      <c r="P106" s="650"/>
      <c r="Q106" s="650"/>
      <c r="R106" s="656"/>
      <c r="S106" s="262"/>
      <c r="T106" s="654">
        <f ca="1">IFERROR(INDIRECT("Field_RentasDep_F"&amp;Field_Pos_2),0)</f>
        <v>0</v>
      </c>
      <c r="U106" s="655"/>
      <c r="V106" s="691">
        <f ca="1">IF(Field_Num_PlazosSel&gt;=2,T100*T106,-1)</f>
        <v>0</v>
      </c>
      <c r="W106" s="650"/>
      <c r="X106" s="650"/>
      <c r="Y106" s="650"/>
      <c r="Z106" s="656"/>
      <c r="AA106" s="263"/>
      <c r="AB106" s="654">
        <f ca="1">IFERROR(INDIRECT("Field_RentasDep_F"&amp;Field_Pos_3),0)</f>
        <v>0</v>
      </c>
      <c r="AC106" s="655"/>
      <c r="AD106" s="691">
        <f ca="1">IF(Field_Num_PlazosSel&gt;0,AB100*AB106,-1)</f>
        <v>0</v>
      </c>
      <c r="AE106" s="650"/>
      <c r="AF106" s="650"/>
      <c r="AG106" s="650"/>
      <c r="AH106" s="656"/>
      <c r="AI106" s="264"/>
      <c r="AJ106" s="237"/>
      <c r="AK106" s="238"/>
      <c r="AL106" s="233"/>
      <c r="AM106" s="233"/>
      <c r="AN106" s="233"/>
      <c r="AO106" s="233"/>
      <c r="AP106" s="233"/>
      <c r="AQ106" s="233"/>
      <c r="AR106" s="233"/>
      <c r="AS106" s="233"/>
      <c r="AT106" s="233"/>
      <c r="AU106" s="233"/>
      <c r="AV106" s="233"/>
      <c r="AW106" s="233"/>
    </row>
    <row r="107" spans="1:49" x14ac:dyDescent="0.2">
      <c r="A107" s="233"/>
      <c r="B107" s="238"/>
      <c r="C107" s="238"/>
      <c r="D107" s="252" t="s">
        <v>22</v>
      </c>
      <c r="E107" s="257"/>
      <c r="F107" s="257"/>
      <c r="G107" s="257"/>
      <c r="H107" s="257"/>
      <c r="I107" s="257"/>
      <c r="J107" s="284"/>
      <c r="K107" s="284"/>
      <c r="L107" s="648" t="str">
        <f>IF(Field_Num_PlazosSel&gt;2,"",-1)</f>
        <v/>
      </c>
      <c r="M107" s="649"/>
      <c r="N107" s="691">
        <f>IF(Field_Num_PlazosSel&gt;2,Field_RatificacionFinanciero,-1)</f>
        <v>3500</v>
      </c>
      <c r="O107" s="650"/>
      <c r="P107" s="651"/>
      <c r="Q107" s="651"/>
      <c r="R107" s="652"/>
      <c r="S107" s="262"/>
      <c r="T107" s="648" t="str">
        <f>IF(Field_Num_PlazosSel&gt;=2,"",-1)</f>
        <v/>
      </c>
      <c r="U107" s="649"/>
      <c r="V107" s="691">
        <f>IF(Field_Num_PlazosSel&gt;=2,Field_RatificacionFinanciero,-1)</f>
        <v>3500</v>
      </c>
      <c r="W107" s="650"/>
      <c r="X107" s="651"/>
      <c r="Y107" s="651"/>
      <c r="Z107" s="652"/>
      <c r="AA107" s="263"/>
      <c r="AB107" s="648" t="str">
        <f>IF(Field_Num_PlazosSel&gt;0,"",-1)</f>
        <v/>
      </c>
      <c r="AC107" s="649"/>
      <c r="AD107" s="691">
        <f>IF(Field_Num_PlazosSel&gt;0,Field_RatificacionFinanciero,-1)</f>
        <v>3500</v>
      </c>
      <c r="AE107" s="650"/>
      <c r="AF107" s="651"/>
      <c r="AG107" s="651"/>
      <c r="AH107" s="652"/>
      <c r="AI107" s="264"/>
      <c r="AJ107" s="237"/>
      <c r="AK107" s="238"/>
      <c r="AL107" s="233"/>
      <c r="AM107" s="233"/>
      <c r="AN107" s="233"/>
      <c r="AO107" s="233"/>
      <c r="AP107" s="233"/>
      <c r="AQ107" s="233"/>
      <c r="AR107" s="233"/>
      <c r="AS107" s="233"/>
      <c r="AT107" s="233"/>
      <c r="AU107" s="233"/>
      <c r="AV107" s="233"/>
      <c r="AW107" s="233"/>
    </row>
    <row r="108" spans="1:49" x14ac:dyDescent="0.2">
      <c r="A108" s="233"/>
      <c r="B108" s="238"/>
      <c r="C108" s="238"/>
      <c r="D108" s="252" t="s">
        <v>8</v>
      </c>
      <c r="E108" s="257"/>
      <c r="F108" s="257"/>
      <c r="G108" s="257"/>
      <c r="H108" s="257"/>
      <c r="I108" s="257"/>
      <c r="J108" s="284"/>
      <c r="K108" s="284"/>
      <c r="L108" s="641">
        <f ca="1">IFERROR(INDIRECT("Field_Engache_" &amp; Field_Pos_1),0)</f>
        <v>0</v>
      </c>
      <c r="M108" s="642"/>
      <c r="N108" s="696">
        <f ca="1">Q85*L108</f>
        <v>0</v>
      </c>
      <c r="O108" s="643"/>
      <c r="P108" s="644"/>
      <c r="Q108" s="644"/>
      <c r="R108" s="645"/>
      <c r="S108" s="262"/>
      <c r="T108" s="641">
        <f ca="1">IFERROR(INDIRECT("Field_Engache_" &amp; Field_Pos_2),0)</f>
        <v>0</v>
      </c>
      <c r="U108" s="642"/>
      <c r="V108" s="696">
        <f ca="1">Q85*T108</f>
        <v>0</v>
      </c>
      <c r="W108" s="643"/>
      <c r="X108" s="644"/>
      <c r="Y108" s="644"/>
      <c r="Z108" s="645"/>
      <c r="AA108" s="263"/>
      <c r="AB108" s="641">
        <f ca="1">IFERROR(INDIRECT("Field_Engache_" &amp; Field_Pos_3),0)</f>
        <v>0</v>
      </c>
      <c r="AC108" s="642"/>
      <c r="AD108" s="696">
        <f ca="1">Q85*AB108</f>
        <v>0</v>
      </c>
      <c r="AE108" s="643"/>
      <c r="AF108" s="644"/>
      <c r="AG108" s="644"/>
      <c r="AH108" s="645"/>
      <c r="AI108" s="274"/>
      <c r="AJ108" s="237"/>
      <c r="AK108" s="238"/>
      <c r="AL108" s="233"/>
      <c r="AM108" s="233"/>
      <c r="AN108" s="233"/>
      <c r="AO108" s="233"/>
      <c r="AP108" s="233"/>
      <c r="AQ108" s="233"/>
      <c r="AR108" s="233"/>
      <c r="AS108" s="233"/>
      <c r="AT108" s="233"/>
      <c r="AU108" s="233"/>
      <c r="AV108" s="233"/>
      <c r="AW108" s="233"/>
    </row>
    <row r="109" spans="1:49" x14ac:dyDescent="0.2">
      <c r="A109" s="233"/>
      <c r="B109" s="238"/>
      <c r="C109" s="238"/>
      <c r="D109" s="252"/>
      <c r="E109" s="257"/>
      <c r="F109" s="257"/>
      <c r="G109" s="257"/>
      <c r="H109" s="257"/>
      <c r="I109" s="257"/>
      <c r="J109" s="284"/>
      <c r="K109" s="284"/>
      <c r="L109" s="275"/>
      <c r="M109" s="275"/>
      <c r="N109" s="276"/>
      <c r="O109" s="276"/>
      <c r="P109" s="276"/>
      <c r="Q109" s="276"/>
      <c r="R109" s="276"/>
      <c r="S109" s="262"/>
      <c r="T109" s="275"/>
      <c r="U109" s="275"/>
      <c r="V109" s="276"/>
      <c r="W109" s="276"/>
      <c r="X109" s="276"/>
      <c r="Y109" s="276"/>
      <c r="Z109" s="276"/>
      <c r="AA109" s="263"/>
      <c r="AB109" s="277"/>
      <c r="AC109" s="277"/>
      <c r="AD109" s="278"/>
      <c r="AE109" s="278"/>
      <c r="AF109" s="278"/>
      <c r="AG109" s="278"/>
      <c r="AH109" s="278"/>
      <c r="AI109" s="274"/>
      <c r="AJ109" s="237"/>
      <c r="AK109" s="238"/>
      <c r="AL109" s="233"/>
      <c r="AM109" s="233"/>
      <c r="AN109" s="233"/>
      <c r="AO109" s="233"/>
      <c r="AP109" s="233"/>
      <c r="AQ109" s="233"/>
      <c r="AR109" s="233"/>
      <c r="AS109" s="233"/>
      <c r="AT109" s="233"/>
      <c r="AU109" s="233"/>
      <c r="AV109" s="233"/>
      <c r="AW109" s="233"/>
    </row>
    <row r="110" spans="1:49" x14ac:dyDescent="0.2">
      <c r="A110" s="233"/>
      <c r="B110" s="238"/>
      <c r="C110" s="302" t="s">
        <v>29</v>
      </c>
      <c r="D110" s="238"/>
      <c r="E110" s="303"/>
      <c r="F110" s="303"/>
      <c r="G110" s="303"/>
      <c r="H110" s="303"/>
      <c r="I110" s="284"/>
      <c r="J110" s="284"/>
      <c r="K110" s="284"/>
      <c r="L110" s="271"/>
      <c r="M110" s="271"/>
      <c r="N110" s="271"/>
      <c r="O110" s="271"/>
      <c r="P110" s="271"/>
      <c r="Q110" s="271"/>
      <c r="R110" s="271"/>
      <c r="S110" s="271"/>
      <c r="T110" s="271"/>
      <c r="U110" s="271"/>
      <c r="V110" s="271"/>
      <c r="W110" s="271"/>
      <c r="X110" s="271"/>
      <c r="Y110" s="271"/>
      <c r="Z110" s="271"/>
      <c r="AA110" s="263"/>
      <c r="AB110" s="272"/>
      <c r="AC110" s="272"/>
      <c r="AD110" s="272"/>
      <c r="AE110" s="272"/>
      <c r="AF110" s="272"/>
      <c r="AG110" s="272"/>
      <c r="AH110" s="272"/>
      <c r="AI110" s="274"/>
      <c r="AJ110" s="237"/>
      <c r="AK110" s="238"/>
      <c r="AL110" s="233"/>
      <c r="AM110" s="233"/>
      <c r="AN110" s="233"/>
      <c r="AO110" s="233"/>
      <c r="AP110" s="233"/>
      <c r="AQ110" s="233"/>
      <c r="AR110" s="233"/>
      <c r="AS110" s="233"/>
      <c r="AT110" s="233"/>
      <c r="AU110" s="233"/>
      <c r="AV110" s="233"/>
      <c r="AW110" s="233"/>
    </row>
    <row r="111" spans="1:49" x14ac:dyDescent="0.2">
      <c r="A111" s="233"/>
      <c r="B111" s="238"/>
      <c r="C111" s="302" t="s">
        <v>17</v>
      </c>
      <c r="D111" s="238"/>
      <c r="E111" s="303"/>
      <c r="F111" s="303"/>
      <c r="G111" s="303"/>
      <c r="H111" s="303"/>
      <c r="I111" s="284"/>
      <c r="J111" s="284"/>
      <c r="K111" s="284"/>
      <c r="L111" s="693">
        <f ca="1">IFERROR(INDIRECT("Field_OpcionCompraMonto_F" &amp; Field_Pos_1),0)</f>
        <v>0</v>
      </c>
      <c r="M111" s="694"/>
      <c r="N111" s="694"/>
      <c r="O111" s="694"/>
      <c r="P111" s="694"/>
      <c r="Q111" s="694"/>
      <c r="R111" s="695"/>
      <c r="S111" s="273"/>
      <c r="T111" s="693">
        <f ca="1">IFERROR(INDIRECT("Field_OpcionCompraMonto_F" &amp; Field_Pos_2),0)</f>
        <v>0</v>
      </c>
      <c r="U111" s="694"/>
      <c r="V111" s="694"/>
      <c r="W111" s="694"/>
      <c r="X111" s="694"/>
      <c r="Y111" s="694"/>
      <c r="Z111" s="695"/>
      <c r="AA111" s="263"/>
      <c r="AB111" s="693">
        <f ca="1">IFERROR(INDIRECT("Field_OpcionCompraMonto_F" &amp; Field_Pos_3),0)</f>
        <v>0</v>
      </c>
      <c r="AC111" s="694"/>
      <c r="AD111" s="694"/>
      <c r="AE111" s="694"/>
      <c r="AF111" s="694"/>
      <c r="AG111" s="694"/>
      <c r="AH111" s="695"/>
      <c r="AI111" s="274"/>
      <c r="AJ111" s="237"/>
      <c r="AK111" s="238"/>
      <c r="AL111" s="233"/>
      <c r="AM111" s="233"/>
      <c r="AN111" s="233"/>
      <c r="AO111" s="233"/>
      <c r="AP111" s="233"/>
      <c r="AQ111" s="233"/>
      <c r="AR111" s="233"/>
      <c r="AS111" s="233"/>
      <c r="AT111" s="233"/>
      <c r="AU111" s="233"/>
      <c r="AV111" s="233"/>
      <c r="AW111" s="233"/>
    </row>
    <row r="112" spans="1:49" x14ac:dyDescent="0.2">
      <c r="A112" s="233"/>
      <c r="B112" s="238"/>
      <c r="C112" s="238"/>
      <c r="D112" s="238"/>
      <c r="E112" s="238"/>
      <c r="F112" s="238"/>
      <c r="G112" s="238"/>
      <c r="H112" s="238"/>
      <c r="I112" s="239"/>
      <c r="J112" s="239"/>
      <c r="K112" s="239"/>
      <c r="L112" s="279"/>
      <c r="M112" s="279"/>
      <c r="N112" s="279"/>
      <c r="O112" s="279"/>
      <c r="P112" s="279"/>
      <c r="Q112" s="279"/>
      <c r="R112" s="279"/>
      <c r="S112" s="279"/>
      <c r="T112" s="279"/>
      <c r="U112" s="279"/>
      <c r="V112" s="279"/>
      <c r="W112" s="279"/>
      <c r="X112" s="279"/>
      <c r="Y112" s="279"/>
      <c r="Z112" s="279"/>
      <c r="AA112" s="239"/>
      <c r="AB112" s="280"/>
      <c r="AC112" s="280"/>
      <c r="AD112" s="280"/>
      <c r="AE112" s="280"/>
      <c r="AF112" s="280"/>
      <c r="AG112" s="280"/>
      <c r="AH112" s="280"/>
      <c r="AI112" s="239"/>
      <c r="AJ112" s="239"/>
      <c r="AK112" s="238"/>
      <c r="AL112" s="233"/>
      <c r="AM112" s="233"/>
      <c r="AN112" s="233"/>
      <c r="AO112" s="233"/>
      <c r="AP112" s="233"/>
      <c r="AQ112" s="233"/>
      <c r="AR112" s="233"/>
      <c r="AS112" s="233"/>
      <c r="AT112" s="233"/>
      <c r="AU112" s="233"/>
      <c r="AV112" s="233"/>
      <c r="AW112" s="233"/>
    </row>
    <row r="113" spans="1:49" x14ac:dyDescent="0.2">
      <c r="A113" s="233"/>
      <c r="B113" s="238"/>
      <c r="C113" s="245"/>
      <c r="D113" s="239"/>
      <c r="E113" s="239"/>
      <c r="F113" s="239"/>
      <c r="G113" s="239"/>
      <c r="H113" s="239"/>
      <c r="I113" s="239"/>
      <c r="J113" s="239"/>
      <c r="K113" s="239"/>
      <c r="L113" s="239"/>
      <c r="M113" s="239"/>
      <c r="N113" s="239"/>
      <c r="O113" s="239"/>
      <c r="P113" s="239"/>
      <c r="Q113" s="239"/>
      <c r="R113" s="239"/>
      <c r="S113" s="239"/>
      <c r="T113" s="279"/>
      <c r="U113" s="279"/>
      <c r="V113" s="281"/>
      <c r="W113" s="279"/>
      <c r="X113" s="279"/>
      <c r="Y113" s="279"/>
      <c r="Z113" s="279"/>
      <c r="AA113" s="239"/>
      <c r="AB113" s="239"/>
      <c r="AC113" s="239"/>
      <c r="AD113" s="239"/>
      <c r="AE113" s="239"/>
      <c r="AF113" s="239"/>
      <c r="AG113" s="239"/>
      <c r="AH113" s="239"/>
      <c r="AI113" s="239"/>
      <c r="AJ113" s="239"/>
      <c r="AK113" s="238"/>
      <c r="AL113" s="233"/>
      <c r="AM113" s="233"/>
      <c r="AN113" s="233"/>
      <c r="AO113" s="233"/>
      <c r="AP113" s="233"/>
      <c r="AQ113" s="233"/>
      <c r="AR113" s="233"/>
      <c r="AS113" s="233"/>
      <c r="AT113" s="233"/>
      <c r="AU113" s="233"/>
      <c r="AV113" s="233"/>
      <c r="AW113" s="233"/>
    </row>
    <row r="114" spans="1:49" ht="12.75" customHeight="1" x14ac:dyDescent="0.2">
      <c r="A114" s="233"/>
      <c r="B114" s="238"/>
      <c r="C114" s="245"/>
      <c r="D114" s="239"/>
      <c r="E114" s="239"/>
      <c r="F114" s="239"/>
      <c r="G114" s="239"/>
      <c r="H114" s="239"/>
      <c r="I114" s="239"/>
      <c r="J114" s="239"/>
      <c r="K114" s="239"/>
      <c r="L114" s="239"/>
      <c r="M114" s="239"/>
      <c r="N114" s="239"/>
      <c r="O114" s="239"/>
      <c r="P114" s="239"/>
      <c r="Q114" s="239"/>
      <c r="R114" s="239"/>
      <c r="S114" s="239"/>
      <c r="T114" s="239"/>
      <c r="U114" s="239"/>
      <c r="V114" s="239"/>
      <c r="W114" s="239"/>
      <c r="X114" s="239"/>
      <c r="Y114" s="239"/>
      <c r="Z114" s="239"/>
      <c r="AA114" s="239"/>
      <c r="AB114" s="239"/>
      <c r="AC114" s="239"/>
      <c r="AD114" s="239"/>
      <c r="AE114" s="239"/>
      <c r="AF114" s="239"/>
      <c r="AG114" s="239"/>
      <c r="AH114" s="239"/>
      <c r="AI114" s="239"/>
      <c r="AJ114" s="239"/>
      <c r="AK114" s="238"/>
      <c r="AL114" s="233"/>
      <c r="AM114" s="233"/>
      <c r="AN114" s="233"/>
      <c r="AO114" s="233"/>
      <c r="AP114" s="233"/>
      <c r="AQ114" s="233"/>
      <c r="AR114" s="233"/>
      <c r="AS114" s="233"/>
      <c r="AT114" s="233"/>
      <c r="AU114" s="233"/>
      <c r="AV114" s="233"/>
      <c r="AW114" s="233"/>
    </row>
    <row r="115" spans="1:49" ht="12.75" customHeight="1" x14ac:dyDescent="0.2">
      <c r="A115" s="233"/>
      <c r="B115" s="238"/>
      <c r="C115" s="245" t="s">
        <v>19</v>
      </c>
      <c r="D115" s="239"/>
      <c r="E115" s="239"/>
      <c r="F115" s="239"/>
      <c r="G115" s="239"/>
      <c r="H115" s="239"/>
      <c r="I115" s="239"/>
      <c r="J115" s="239"/>
      <c r="K115" s="239"/>
      <c r="L115" s="239"/>
      <c r="M115" s="239"/>
      <c r="N115" s="239"/>
      <c r="O115" s="239"/>
      <c r="P115" s="239"/>
      <c r="Q115" s="239"/>
      <c r="R115" s="239"/>
      <c r="S115" s="239"/>
      <c r="T115" s="279"/>
      <c r="U115" s="279"/>
      <c r="V115" s="281"/>
      <c r="W115" s="279"/>
      <c r="X115" s="279"/>
      <c r="Y115" s="279"/>
      <c r="Z115" s="279"/>
      <c r="AA115" s="239"/>
      <c r="AB115" s="239"/>
      <c r="AC115" s="239"/>
      <c r="AD115" s="239"/>
      <c r="AE115" s="239"/>
      <c r="AF115" s="239"/>
      <c r="AG115" s="239"/>
      <c r="AH115" s="239"/>
      <c r="AI115" s="239"/>
      <c r="AJ115" s="239"/>
      <c r="AK115" s="238"/>
      <c r="AL115" s="233"/>
      <c r="AM115" s="233"/>
      <c r="AN115" s="233"/>
      <c r="AO115" s="233"/>
      <c r="AP115" s="233"/>
      <c r="AQ115" s="233"/>
      <c r="AR115" s="233"/>
      <c r="AS115" s="233"/>
      <c r="AT115" s="233"/>
      <c r="AU115" s="233"/>
      <c r="AV115" s="233"/>
      <c r="AW115" s="233"/>
    </row>
    <row r="116" spans="1:49" ht="30.75" customHeight="1" x14ac:dyDescent="0.2">
      <c r="A116" s="233"/>
      <c r="B116" s="238"/>
      <c r="C116" s="625" t="s">
        <v>246</v>
      </c>
      <c r="D116" s="625"/>
      <c r="E116" s="625"/>
      <c r="F116" s="625"/>
      <c r="G116" s="625"/>
      <c r="H116" s="625"/>
      <c r="I116" s="625"/>
      <c r="J116" s="625"/>
      <c r="K116" s="625"/>
      <c r="L116" s="625"/>
      <c r="M116" s="625"/>
      <c r="N116" s="625"/>
      <c r="O116" s="625"/>
      <c r="P116" s="625"/>
      <c r="Q116" s="625"/>
      <c r="R116" s="625"/>
      <c r="S116" s="625"/>
      <c r="T116" s="625"/>
      <c r="U116" s="625"/>
      <c r="V116" s="625"/>
      <c r="W116" s="625"/>
      <c r="X116" s="625"/>
      <c r="Y116" s="625"/>
      <c r="Z116" s="625"/>
      <c r="AA116" s="625"/>
      <c r="AB116" s="625"/>
      <c r="AC116" s="625"/>
      <c r="AD116" s="625"/>
      <c r="AE116" s="625"/>
      <c r="AF116" s="625"/>
      <c r="AG116" s="625"/>
      <c r="AH116" s="625"/>
      <c r="AI116" s="239"/>
      <c r="AJ116" s="239"/>
      <c r="AK116" s="238"/>
      <c r="AL116" s="233"/>
      <c r="AM116" s="233"/>
      <c r="AN116" s="233"/>
      <c r="AO116" s="233"/>
      <c r="AP116" s="233"/>
      <c r="AQ116" s="233"/>
      <c r="AR116" s="233"/>
      <c r="AS116" s="233"/>
      <c r="AT116" s="233"/>
      <c r="AU116" s="233"/>
      <c r="AV116" s="233"/>
      <c r="AW116" s="233"/>
    </row>
    <row r="117" spans="1:49" ht="12.75" customHeight="1" x14ac:dyDescent="0.2">
      <c r="A117" s="233"/>
      <c r="B117" s="238"/>
      <c r="C117" s="610" t="s">
        <v>247</v>
      </c>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0"/>
      <c r="AD117" s="610"/>
      <c r="AE117" s="610"/>
      <c r="AF117" s="610"/>
      <c r="AG117" s="610"/>
      <c r="AH117" s="610"/>
      <c r="AI117" s="239"/>
      <c r="AJ117" s="239"/>
      <c r="AK117" s="238"/>
      <c r="AL117" s="233"/>
      <c r="AM117" s="233"/>
      <c r="AN117" s="233"/>
      <c r="AO117" s="233"/>
      <c r="AP117" s="233"/>
      <c r="AQ117" s="233"/>
      <c r="AR117" s="233"/>
      <c r="AS117" s="233"/>
      <c r="AT117" s="233"/>
      <c r="AU117" s="233"/>
      <c r="AV117" s="233"/>
      <c r="AW117" s="233"/>
    </row>
    <row r="118" spans="1:49" x14ac:dyDescent="0.2">
      <c r="A118" s="233"/>
      <c r="B118" s="238"/>
      <c r="C118" s="610" t="s">
        <v>254</v>
      </c>
      <c r="D118" s="610"/>
      <c r="E118" s="610"/>
      <c r="F118" s="610"/>
      <c r="G118" s="610"/>
      <c r="H118" s="610"/>
      <c r="I118" s="610"/>
      <c r="J118" s="610"/>
      <c r="K118" s="610"/>
      <c r="L118" s="610"/>
      <c r="M118" s="610"/>
      <c r="N118" s="610"/>
      <c r="O118" s="610"/>
      <c r="P118" s="610"/>
      <c r="Q118" s="610"/>
      <c r="R118" s="610"/>
      <c r="S118" s="610"/>
      <c r="T118" s="610"/>
      <c r="U118" s="610"/>
      <c r="V118" s="610"/>
      <c r="W118" s="610"/>
      <c r="X118" s="610"/>
      <c r="Y118" s="610"/>
      <c r="Z118" s="610"/>
      <c r="AA118" s="610"/>
      <c r="AB118" s="610"/>
      <c r="AC118" s="610"/>
      <c r="AD118" s="610"/>
      <c r="AE118" s="610"/>
      <c r="AF118" s="610"/>
      <c r="AG118" s="610"/>
      <c r="AH118" s="610"/>
      <c r="AI118" s="239"/>
      <c r="AJ118" s="239"/>
      <c r="AK118" s="238"/>
      <c r="AL118" s="233"/>
      <c r="AM118" s="233"/>
      <c r="AN118" s="233"/>
      <c r="AO118" s="233"/>
      <c r="AP118" s="233"/>
      <c r="AQ118" s="233"/>
      <c r="AR118" s="233"/>
      <c r="AS118" s="233"/>
      <c r="AT118" s="233"/>
      <c r="AU118" s="233"/>
      <c r="AV118" s="233"/>
      <c r="AW118" s="233"/>
    </row>
    <row r="119" spans="1:49" ht="12.75" customHeight="1" x14ac:dyDescent="0.2">
      <c r="A119" s="233"/>
      <c r="B119" s="238"/>
      <c r="C119" s="610" t="s">
        <v>248</v>
      </c>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0"/>
      <c r="AD119" s="610"/>
      <c r="AE119" s="610"/>
      <c r="AF119" s="610"/>
      <c r="AG119" s="610"/>
      <c r="AH119" s="610"/>
      <c r="AI119" s="239"/>
      <c r="AJ119" s="239"/>
      <c r="AK119" s="238"/>
      <c r="AL119" s="233"/>
      <c r="AM119" s="233"/>
      <c r="AN119" s="233"/>
      <c r="AO119" s="233"/>
      <c r="AP119" s="233"/>
      <c r="AQ119" s="233"/>
      <c r="AR119" s="233"/>
      <c r="AS119" s="233"/>
      <c r="AT119" s="233"/>
      <c r="AU119" s="233"/>
      <c r="AV119" s="233"/>
      <c r="AW119" s="233"/>
    </row>
    <row r="120" spans="1:49" ht="42" customHeight="1" x14ac:dyDescent="0.2">
      <c r="A120" s="233"/>
      <c r="B120" s="238"/>
      <c r="C120" s="625" t="s">
        <v>249</v>
      </c>
      <c r="D120" s="625"/>
      <c r="E120" s="625"/>
      <c r="F120" s="625"/>
      <c r="G120" s="625"/>
      <c r="H120" s="625"/>
      <c r="I120" s="625"/>
      <c r="J120" s="625"/>
      <c r="K120" s="625"/>
      <c r="L120" s="625"/>
      <c r="M120" s="625"/>
      <c r="N120" s="625"/>
      <c r="O120" s="625"/>
      <c r="P120" s="625"/>
      <c r="Q120" s="625"/>
      <c r="R120" s="625"/>
      <c r="S120" s="625"/>
      <c r="T120" s="625"/>
      <c r="U120" s="625"/>
      <c r="V120" s="625"/>
      <c r="W120" s="625"/>
      <c r="X120" s="625"/>
      <c r="Y120" s="625"/>
      <c r="Z120" s="625"/>
      <c r="AA120" s="625"/>
      <c r="AB120" s="625"/>
      <c r="AC120" s="625"/>
      <c r="AD120" s="625"/>
      <c r="AE120" s="625"/>
      <c r="AF120" s="625"/>
      <c r="AG120" s="625"/>
      <c r="AH120" s="625"/>
      <c r="AI120" s="239"/>
      <c r="AJ120" s="239"/>
      <c r="AK120" s="238"/>
      <c r="AL120" s="233"/>
      <c r="AM120" s="233"/>
      <c r="AN120" s="233"/>
      <c r="AO120" s="233"/>
      <c r="AP120" s="233"/>
      <c r="AQ120" s="233"/>
      <c r="AR120" s="233"/>
      <c r="AS120" s="233"/>
      <c r="AT120" s="233"/>
      <c r="AU120" s="233"/>
      <c r="AV120" s="233"/>
      <c r="AW120" s="233"/>
    </row>
    <row r="121" spans="1:49" ht="66" customHeight="1" x14ac:dyDescent="0.2">
      <c r="A121" s="233"/>
      <c r="B121" s="238"/>
      <c r="C121" s="625" t="s">
        <v>250</v>
      </c>
      <c r="D121" s="625"/>
      <c r="E121" s="625"/>
      <c r="F121" s="625"/>
      <c r="G121" s="625"/>
      <c r="H121" s="625"/>
      <c r="I121" s="625"/>
      <c r="J121" s="625"/>
      <c r="K121" s="625"/>
      <c r="L121" s="625"/>
      <c r="M121" s="625"/>
      <c r="N121" s="625"/>
      <c r="O121" s="625"/>
      <c r="P121" s="625"/>
      <c r="Q121" s="625"/>
      <c r="R121" s="625"/>
      <c r="S121" s="625"/>
      <c r="T121" s="625"/>
      <c r="U121" s="625"/>
      <c r="V121" s="625"/>
      <c r="W121" s="625"/>
      <c r="X121" s="625"/>
      <c r="Y121" s="625"/>
      <c r="Z121" s="625"/>
      <c r="AA121" s="625"/>
      <c r="AB121" s="625"/>
      <c r="AC121" s="625"/>
      <c r="AD121" s="625"/>
      <c r="AE121" s="625"/>
      <c r="AF121" s="625"/>
      <c r="AG121" s="625"/>
      <c r="AH121" s="625"/>
      <c r="AI121" s="239"/>
      <c r="AJ121" s="239"/>
      <c r="AK121" s="238"/>
      <c r="AL121" s="233"/>
      <c r="AM121" s="233"/>
      <c r="AN121" s="233"/>
      <c r="AO121" s="233"/>
      <c r="AP121" s="233"/>
      <c r="AQ121" s="233"/>
      <c r="AR121" s="233"/>
      <c r="AS121" s="233"/>
      <c r="AT121" s="233"/>
      <c r="AU121" s="233"/>
      <c r="AV121" s="233"/>
      <c r="AW121" s="233"/>
    </row>
    <row r="122" spans="1:49" ht="14.25" x14ac:dyDescent="0.2">
      <c r="A122" s="233"/>
      <c r="B122" s="282"/>
      <c r="C122" s="238"/>
      <c r="D122" s="238"/>
      <c r="E122" s="238"/>
      <c r="F122" s="238"/>
      <c r="G122" s="238"/>
      <c r="H122" s="238"/>
      <c r="I122" s="238"/>
      <c r="J122" s="238"/>
      <c r="K122" s="238"/>
      <c r="L122" s="238"/>
      <c r="M122" s="238"/>
      <c r="N122" s="238"/>
      <c r="O122" s="238"/>
      <c r="P122" s="238"/>
      <c r="Q122" s="238"/>
      <c r="R122" s="238"/>
      <c r="S122" s="238"/>
      <c r="T122" s="238"/>
      <c r="U122" s="238"/>
      <c r="V122" s="238"/>
      <c r="W122" s="238"/>
      <c r="X122" s="238"/>
      <c r="Y122" s="238"/>
      <c r="Z122" s="238"/>
      <c r="AA122" s="238"/>
      <c r="AB122" s="238"/>
      <c r="AC122" s="238"/>
      <c r="AD122" s="238"/>
      <c r="AE122" s="238"/>
      <c r="AF122" s="238"/>
      <c r="AG122" s="238"/>
      <c r="AH122" s="238"/>
      <c r="AI122" s="239"/>
      <c r="AJ122" s="239"/>
      <c r="AK122" s="282"/>
      <c r="AL122" s="233"/>
      <c r="AM122" s="233"/>
      <c r="AN122" s="233"/>
      <c r="AO122" s="233"/>
      <c r="AP122" s="233"/>
      <c r="AQ122" s="233"/>
      <c r="AR122" s="233"/>
      <c r="AS122" s="233"/>
      <c r="AT122" s="233"/>
      <c r="AU122" s="233"/>
      <c r="AV122" s="233"/>
      <c r="AW122" s="233"/>
    </row>
    <row r="123" spans="1:49" ht="14.25" x14ac:dyDescent="0.2">
      <c r="A123" s="233"/>
      <c r="B123" s="282"/>
      <c r="C123" s="626" t="s">
        <v>251</v>
      </c>
      <c r="D123" s="626"/>
      <c r="E123" s="626"/>
      <c r="F123" s="626"/>
      <c r="G123" s="626"/>
      <c r="H123" s="626"/>
      <c r="I123" s="626"/>
      <c r="J123" s="626"/>
      <c r="K123" s="626"/>
      <c r="L123" s="626"/>
      <c r="M123" s="626"/>
      <c r="N123" s="626"/>
      <c r="O123" s="626"/>
      <c r="P123" s="626"/>
      <c r="Q123" s="626"/>
      <c r="R123" s="626"/>
      <c r="S123" s="626"/>
      <c r="T123" s="626"/>
      <c r="U123" s="626"/>
      <c r="V123" s="626"/>
      <c r="W123" s="626"/>
      <c r="X123" s="626"/>
      <c r="Y123" s="626"/>
      <c r="Z123" s="626"/>
      <c r="AA123" s="626"/>
      <c r="AB123" s="626"/>
      <c r="AC123" s="626"/>
      <c r="AD123" s="626"/>
      <c r="AE123" s="626"/>
      <c r="AF123" s="626"/>
      <c r="AG123" s="626"/>
      <c r="AH123" s="238"/>
      <c r="AI123" s="239"/>
      <c r="AJ123" s="239"/>
      <c r="AK123" s="282"/>
      <c r="AL123" s="233"/>
      <c r="AM123" s="233"/>
      <c r="AN123" s="233"/>
      <c r="AO123" s="233"/>
      <c r="AP123" s="233"/>
      <c r="AQ123" s="233"/>
      <c r="AR123" s="233"/>
      <c r="AS123" s="233"/>
      <c r="AT123" s="233"/>
      <c r="AU123" s="233"/>
      <c r="AV123" s="233"/>
      <c r="AW123" s="233"/>
    </row>
    <row r="124" spans="1:49" ht="14.25" x14ac:dyDescent="0.2">
      <c r="A124" s="233"/>
      <c r="B124" s="282"/>
      <c r="C124" s="653" t="s">
        <v>252</v>
      </c>
      <c r="D124" s="653"/>
      <c r="E124" s="653"/>
      <c r="F124" s="653"/>
      <c r="G124" s="653"/>
      <c r="H124" s="653"/>
      <c r="I124" s="653"/>
      <c r="J124" s="653"/>
      <c r="K124" s="653"/>
      <c r="L124" s="653"/>
      <c r="M124" s="653"/>
      <c r="N124" s="653"/>
      <c r="O124" s="653"/>
      <c r="P124" s="653"/>
      <c r="Q124" s="653"/>
      <c r="R124" s="653"/>
      <c r="S124" s="653"/>
      <c r="T124" s="653"/>
      <c r="U124" s="653"/>
      <c r="V124" s="653"/>
      <c r="W124" s="653"/>
      <c r="X124" s="653"/>
      <c r="Y124" s="653"/>
      <c r="Z124" s="653"/>
      <c r="AA124" s="653"/>
      <c r="AB124" s="653"/>
      <c r="AC124" s="653"/>
      <c r="AD124" s="653"/>
      <c r="AE124" s="653"/>
      <c r="AF124" s="653"/>
      <c r="AG124" s="653"/>
      <c r="AH124" s="238"/>
      <c r="AI124" s="239"/>
      <c r="AJ124" s="239"/>
      <c r="AK124" s="282"/>
      <c r="AL124" s="233"/>
      <c r="AM124" s="233"/>
      <c r="AN124" s="233"/>
      <c r="AO124" s="233"/>
      <c r="AP124" s="233"/>
      <c r="AQ124" s="233"/>
      <c r="AR124" s="233"/>
      <c r="AS124" s="233"/>
      <c r="AT124" s="233"/>
      <c r="AU124" s="233"/>
      <c r="AV124" s="233"/>
      <c r="AW124" s="233"/>
    </row>
    <row r="125" spans="1:49" ht="14.25" x14ac:dyDescent="0.2">
      <c r="A125" s="233"/>
      <c r="B125" s="282"/>
      <c r="C125" s="304"/>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2"/>
      <c r="AL125" s="233"/>
      <c r="AM125" s="233"/>
      <c r="AN125" s="233"/>
      <c r="AO125" s="233"/>
      <c r="AP125" s="233"/>
      <c r="AQ125" s="233"/>
      <c r="AR125" s="233"/>
      <c r="AS125" s="233"/>
      <c r="AT125" s="233"/>
      <c r="AU125" s="233"/>
      <c r="AV125" s="233"/>
      <c r="AW125" s="233"/>
    </row>
    <row r="126" spans="1:49" x14ac:dyDescent="0.2">
      <c r="A126" s="233"/>
      <c r="B126" s="236"/>
      <c r="C126" s="692"/>
      <c r="D126" s="692"/>
      <c r="E126" s="692"/>
      <c r="F126" s="692"/>
      <c r="G126" s="692"/>
      <c r="H126" s="692"/>
      <c r="I126" s="692"/>
      <c r="J126" s="692"/>
      <c r="K126" s="692"/>
      <c r="L126" s="692"/>
      <c r="M126" s="692"/>
      <c r="N126" s="692"/>
      <c r="O126" s="692"/>
      <c r="P126" s="692"/>
      <c r="Q126" s="692"/>
      <c r="R126" s="692"/>
      <c r="S126" s="692"/>
      <c r="T126" s="692"/>
      <c r="U126" s="692"/>
      <c r="V126" s="692"/>
      <c r="W126" s="692"/>
      <c r="X126" s="692"/>
      <c r="Y126" s="692"/>
      <c r="Z126" s="692"/>
      <c r="AA126" s="692"/>
      <c r="AB126" s="692"/>
      <c r="AC126" s="692"/>
      <c r="AD126" s="692"/>
      <c r="AE126" s="692"/>
      <c r="AF126" s="692"/>
      <c r="AG126" s="692"/>
      <c r="AH126" s="692"/>
      <c r="AI126" s="692"/>
      <c r="AJ126" s="692"/>
      <c r="AK126" s="236"/>
      <c r="AL126" s="233"/>
      <c r="AM126" s="233"/>
      <c r="AN126" s="233"/>
      <c r="AO126" s="233"/>
      <c r="AP126" s="233"/>
      <c r="AQ126" s="233"/>
      <c r="AR126" s="233"/>
      <c r="AS126" s="233"/>
      <c r="AT126" s="233"/>
      <c r="AU126" s="233"/>
      <c r="AV126" s="233"/>
      <c r="AW126" s="233"/>
    </row>
    <row r="127" spans="1:49" x14ac:dyDescent="0.2">
      <c r="A127" s="233"/>
      <c r="B127" s="236"/>
      <c r="C127" s="627" t="s">
        <v>20</v>
      </c>
      <c r="D127" s="627"/>
      <c r="E127" s="627"/>
      <c r="F127" s="627"/>
      <c r="G127" s="627"/>
      <c r="H127" s="627"/>
      <c r="I127" s="627"/>
      <c r="J127" s="627"/>
      <c r="K127" s="627"/>
      <c r="L127" s="627"/>
      <c r="M127" s="627"/>
      <c r="N127" s="627"/>
      <c r="O127" s="627"/>
      <c r="P127" s="627"/>
      <c r="Q127" s="627"/>
      <c r="R127" s="627"/>
      <c r="S127" s="627"/>
      <c r="T127" s="627"/>
      <c r="U127" s="627"/>
      <c r="V127" s="627"/>
      <c r="W127" s="627"/>
      <c r="X127" s="627"/>
      <c r="Y127" s="627"/>
      <c r="Z127" s="627"/>
      <c r="AA127" s="627"/>
      <c r="AB127" s="627"/>
      <c r="AC127" s="627"/>
      <c r="AD127" s="627"/>
      <c r="AE127" s="627"/>
      <c r="AF127" s="627"/>
      <c r="AG127" s="627"/>
      <c r="AH127" s="627"/>
      <c r="AI127" s="627"/>
      <c r="AJ127" s="627"/>
      <c r="AK127" s="236"/>
      <c r="AL127" s="233"/>
      <c r="AM127" s="233"/>
      <c r="AN127" s="233"/>
      <c r="AO127" s="233"/>
      <c r="AP127" s="233"/>
      <c r="AQ127" s="233"/>
      <c r="AR127" s="233"/>
      <c r="AS127" s="233"/>
      <c r="AT127" s="233"/>
      <c r="AU127" s="233"/>
      <c r="AV127" s="233"/>
      <c r="AW127" s="233"/>
    </row>
    <row r="128" spans="1:49" ht="13.5" thickBot="1" x14ac:dyDescent="0.25">
      <c r="A128" s="233"/>
      <c r="B128" s="236"/>
      <c r="C128" s="628" t="str">
        <f>TRIM(Y8)</f>
        <v>Nombre del Ejecutivo</v>
      </c>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c r="AA128" s="628"/>
      <c r="AB128" s="628"/>
      <c r="AC128" s="628"/>
      <c r="AD128" s="628"/>
      <c r="AE128" s="628"/>
      <c r="AF128" s="628"/>
      <c r="AG128" s="628"/>
      <c r="AH128" s="628"/>
      <c r="AI128" s="628"/>
      <c r="AJ128" s="628"/>
      <c r="AK128" s="236"/>
      <c r="AL128" s="233"/>
      <c r="AM128" s="233"/>
      <c r="AN128" s="233"/>
      <c r="AO128" s="233"/>
      <c r="AP128" s="233"/>
      <c r="AQ128" s="233"/>
      <c r="AR128" s="233"/>
      <c r="AS128" s="233"/>
      <c r="AT128" s="233"/>
      <c r="AU128" s="233"/>
      <c r="AV128" s="233"/>
      <c r="AW128" s="233"/>
    </row>
    <row r="129" spans="1:49" s="240" customFormat="1" ht="39.75" customHeight="1" thickBot="1" x14ac:dyDescent="0.25">
      <c r="A129" s="233"/>
      <c r="B129" s="629" t="s">
        <v>33</v>
      </c>
      <c r="C129" s="630"/>
      <c r="D129" s="630"/>
      <c r="E129" s="630"/>
      <c r="F129" s="630"/>
      <c r="G129" s="630"/>
      <c r="H129" s="630"/>
      <c r="I129" s="630"/>
      <c r="J129" s="630"/>
      <c r="K129" s="630"/>
      <c r="L129" s="630"/>
      <c r="M129" s="630"/>
      <c r="N129" s="630"/>
      <c r="O129" s="630"/>
      <c r="P129" s="630"/>
      <c r="Q129" s="630"/>
      <c r="R129" s="630"/>
      <c r="S129" s="630"/>
      <c r="T129" s="630"/>
      <c r="U129" s="630"/>
      <c r="V129" s="630"/>
      <c r="W129" s="630"/>
      <c r="X129" s="630"/>
      <c r="Y129" s="630"/>
      <c r="Z129" s="630"/>
      <c r="AA129" s="630"/>
      <c r="AB129" s="630"/>
      <c r="AC129" s="630"/>
      <c r="AD129" s="630"/>
      <c r="AE129" s="630"/>
      <c r="AF129" s="630"/>
      <c r="AG129" s="630"/>
      <c r="AH129" s="630"/>
      <c r="AI129" s="630"/>
      <c r="AJ129" s="630"/>
      <c r="AK129" s="631"/>
      <c r="AL129" s="233"/>
      <c r="AM129" s="233"/>
      <c r="AN129" s="233"/>
      <c r="AO129" s="233"/>
      <c r="AP129" s="233"/>
      <c r="AQ129" s="233"/>
      <c r="AR129" s="233"/>
      <c r="AS129" s="233"/>
      <c r="AT129" s="233"/>
      <c r="AU129" s="233"/>
      <c r="AV129" s="233"/>
      <c r="AW129" s="233"/>
    </row>
    <row r="130" spans="1:49" x14ac:dyDescent="0.2">
      <c r="A130" s="233"/>
      <c r="B130" s="235"/>
      <c r="C130" s="236"/>
      <c r="D130" s="237"/>
      <c r="E130" s="237"/>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6"/>
      <c r="AL130" s="233"/>
      <c r="AM130" s="233"/>
      <c r="AN130" s="233"/>
      <c r="AO130" s="233"/>
      <c r="AP130" s="233"/>
      <c r="AQ130" s="233"/>
      <c r="AR130" s="233"/>
      <c r="AS130" s="233"/>
      <c r="AT130" s="233"/>
      <c r="AU130" s="233"/>
      <c r="AV130" s="233"/>
      <c r="AW130" s="233"/>
    </row>
    <row r="131" spans="1:49" x14ac:dyDescent="0.2">
      <c r="A131" s="233"/>
      <c r="B131" s="236"/>
      <c r="C131" s="236"/>
      <c r="D131" s="237"/>
      <c r="E131" s="237"/>
      <c r="F131" s="237"/>
      <c r="G131" s="237"/>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237"/>
      <c r="AD131" s="237"/>
      <c r="AE131" s="237"/>
      <c r="AF131" s="237"/>
      <c r="AG131" s="237"/>
      <c r="AH131" s="237"/>
      <c r="AI131" s="237"/>
      <c r="AJ131" s="237"/>
      <c r="AK131" s="236"/>
      <c r="AL131" s="233"/>
      <c r="AM131" s="233"/>
      <c r="AN131" s="233"/>
      <c r="AO131" s="233"/>
      <c r="AP131" s="233"/>
      <c r="AQ131" s="233"/>
      <c r="AR131" s="233"/>
      <c r="AS131" s="233"/>
      <c r="AT131" s="233"/>
      <c r="AU131" s="233"/>
      <c r="AV131" s="233"/>
      <c r="AW131" s="233"/>
    </row>
    <row r="132" spans="1:49" x14ac:dyDescent="0.2">
      <c r="A132" s="233"/>
      <c r="B132" s="236"/>
      <c r="C132" s="236"/>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c r="AK132" s="236"/>
      <c r="AL132" s="233"/>
      <c r="AM132" s="233"/>
      <c r="AN132" s="233"/>
      <c r="AO132" s="233"/>
      <c r="AP132" s="233"/>
      <c r="AQ132" s="233"/>
      <c r="AR132" s="233"/>
      <c r="AS132" s="233"/>
      <c r="AT132" s="233"/>
      <c r="AU132" s="233"/>
      <c r="AV132" s="233"/>
      <c r="AW132" s="233"/>
    </row>
    <row r="133" spans="1:49" x14ac:dyDescent="0.2">
      <c r="A133" s="233"/>
      <c r="B133" s="236"/>
      <c r="C133" s="236"/>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K133" s="236"/>
      <c r="AL133" s="233"/>
      <c r="AM133" s="233"/>
      <c r="AN133" s="233"/>
      <c r="AO133" s="233"/>
      <c r="AP133" s="233"/>
      <c r="AQ133" s="233"/>
      <c r="AR133" s="233"/>
      <c r="AS133" s="233"/>
      <c r="AT133" s="233"/>
      <c r="AU133" s="233"/>
      <c r="AV133" s="233"/>
      <c r="AW133" s="233"/>
    </row>
    <row r="134" spans="1:49" x14ac:dyDescent="0.2">
      <c r="A134" s="233"/>
      <c r="B134" s="236"/>
      <c r="C134" s="236"/>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c r="AK134" s="236"/>
      <c r="AL134" s="233"/>
      <c r="AM134" s="233"/>
      <c r="AN134" s="233"/>
      <c r="AO134" s="233"/>
      <c r="AP134" s="233"/>
      <c r="AQ134" s="233"/>
      <c r="AR134" s="233"/>
      <c r="AS134" s="233"/>
      <c r="AT134" s="233"/>
      <c r="AU134" s="233"/>
      <c r="AV134" s="233"/>
      <c r="AW134" s="233"/>
    </row>
    <row r="135" spans="1:49" x14ac:dyDescent="0.2">
      <c r="A135" s="233"/>
      <c r="B135" s="238"/>
      <c r="C135" s="238"/>
      <c r="D135" s="239"/>
      <c r="E135" s="239"/>
      <c r="F135" s="239"/>
      <c r="G135" s="239"/>
      <c r="H135" s="239"/>
      <c r="I135" s="239"/>
      <c r="J135" s="239"/>
      <c r="K135" s="239"/>
      <c r="L135" s="239"/>
      <c r="M135" s="239"/>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238"/>
      <c r="AL135" s="233"/>
      <c r="AM135" s="233"/>
      <c r="AN135" s="233"/>
      <c r="AO135" s="233"/>
      <c r="AP135" s="233"/>
      <c r="AQ135" s="233"/>
      <c r="AR135" s="233"/>
      <c r="AS135" s="233"/>
      <c r="AT135" s="233"/>
      <c r="AU135" s="233"/>
      <c r="AV135" s="233"/>
      <c r="AW135" s="233"/>
    </row>
    <row r="136" spans="1:49" x14ac:dyDescent="0.2">
      <c r="A136" s="233"/>
      <c r="B136" s="238"/>
      <c r="M136" s="241"/>
      <c r="N136" s="241"/>
      <c r="O136" s="241"/>
      <c r="P136" s="241"/>
      <c r="Q136" s="241"/>
      <c r="R136" s="241"/>
      <c r="S136" s="241"/>
      <c r="T136" s="241"/>
      <c r="U136" s="241"/>
      <c r="V136" s="241"/>
      <c r="W136" s="241"/>
      <c r="X136" s="239"/>
      <c r="Y136" s="242"/>
      <c r="Z136" s="239"/>
      <c r="AK136" s="238"/>
      <c r="AL136" s="233"/>
      <c r="AM136" s="233"/>
      <c r="AN136" s="233"/>
      <c r="AO136" s="233"/>
      <c r="AP136" s="233"/>
      <c r="AQ136" s="233"/>
      <c r="AR136" s="233"/>
      <c r="AS136" s="233"/>
      <c r="AT136" s="233"/>
      <c r="AU136" s="233"/>
      <c r="AV136" s="233"/>
      <c r="AW136" s="233"/>
    </row>
    <row r="137" spans="1:49" x14ac:dyDescent="0.2">
      <c r="A137" s="233"/>
      <c r="B137" s="238"/>
      <c r="M137" s="239"/>
      <c r="N137" s="239"/>
      <c r="O137" s="239"/>
      <c r="P137" s="239"/>
      <c r="Q137" s="239"/>
      <c r="R137" s="239"/>
      <c r="S137" s="239"/>
      <c r="T137" s="239"/>
      <c r="U137" s="239"/>
      <c r="V137" s="239"/>
      <c r="W137" s="239"/>
      <c r="X137" s="239"/>
      <c r="Y137" s="608" t="str">
        <f>enterprise!$K$13</f>
        <v>Nombre del Ejecutivo</v>
      </c>
      <c r="Z137" s="608"/>
      <c r="AA137" s="608"/>
      <c r="AB137" s="608"/>
      <c r="AC137" s="608"/>
      <c r="AD137" s="608"/>
      <c r="AE137" s="608"/>
      <c r="AF137" s="608"/>
      <c r="AG137" s="608"/>
      <c r="AH137" s="608"/>
      <c r="AK137" s="238"/>
      <c r="AL137" s="233"/>
      <c r="AM137" s="233"/>
      <c r="AN137" s="233"/>
      <c r="AO137" s="233"/>
      <c r="AP137" s="233"/>
      <c r="AQ137" s="233"/>
      <c r="AR137" s="233"/>
      <c r="AS137" s="233"/>
      <c r="AT137" s="233"/>
      <c r="AU137" s="233"/>
      <c r="AV137" s="233"/>
      <c r="AW137" s="233"/>
    </row>
    <row r="138" spans="1:49" x14ac:dyDescent="0.2">
      <c r="A138" s="233"/>
      <c r="B138" s="238"/>
      <c r="M138" s="239"/>
      <c r="N138" s="239"/>
      <c r="O138" s="239"/>
      <c r="P138" s="239"/>
      <c r="Q138" s="239"/>
      <c r="R138" s="239"/>
      <c r="S138" s="239"/>
      <c r="T138" s="239"/>
      <c r="U138" s="239"/>
      <c r="V138" s="239"/>
      <c r="W138" s="239"/>
      <c r="X138" s="239"/>
      <c r="Y138" s="609" t="str">
        <f>"Tel: " &amp; enterprise!$T$13</f>
        <v xml:space="preserve">Tel: </v>
      </c>
      <c r="Z138" s="609"/>
      <c r="AA138" s="609"/>
      <c r="AB138" s="609"/>
      <c r="AC138" s="609"/>
      <c r="AD138" s="609"/>
      <c r="AE138" s="609"/>
      <c r="AF138" s="609"/>
      <c r="AG138" s="609"/>
      <c r="AH138" s="609"/>
      <c r="AK138" s="238"/>
      <c r="AL138" s="233"/>
      <c r="AM138" s="233"/>
      <c r="AN138" s="233"/>
      <c r="AO138" s="233"/>
      <c r="AP138" s="233"/>
      <c r="AQ138" s="233"/>
      <c r="AR138" s="233"/>
      <c r="AS138" s="233"/>
      <c r="AT138" s="233"/>
      <c r="AU138" s="233"/>
      <c r="AV138" s="233"/>
      <c r="AW138" s="233"/>
    </row>
    <row r="139" spans="1:49" x14ac:dyDescent="0.2">
      <c r="A139" s="233"/>
      <c r="B139" s="238"/>
      <c r="C139" s="238"/>
      <c r="D139" s="239"/>
      <c r="E139" s="239"/>
      <c r="F139" s="239"/>
      <c r="G139" s="239"/>
      <c r="H139" s="239"/>
      <c r="I139" s="239"/>
      <c r="J139" s="239"/>
      <c r="K139" s="239"/>
      <c r="L139" s="239"/>
      <c r="M139" s="239"/>
      <c r="N139" s="239"/>
      <c r="O139" s="239"/>
      <c r="P139" s="239"/>
      <c r="Q139" s="239"/>
      <c r="R139" s="239"/>
      <c r="S139" s="239"/>
      <c r="T139" s="239"/>
      <c r="U139" s="239"/>
      <c r="V139" s="239"/>
      <c r="W139" s="239"/>
      <c r="X139" s="239"/>
      <c r="Y139" s="609" t="str">
        <f>enterprise!$K$14</f>
        <v>Correo Electrónico</v>
      </c>
      <c r="Z139" s="609"/>
      <c r="AA139" s="609"/>
      <c r="AB139" s="609"/>
      <c r="AC139" s="609"/>
      <c r="AD139" s="609"/>
      <c r="AE139" s="609"/>
      <c r="AF139" s="609"/>
      <c r="AG139" s="609"/>
      <c r="AH139" s="609"/>
      <c r="AI139" s="243"/>
      <c r="AJ139" s="243"/>
      <c r="AK139" s="238"/>
      <c r="AL139" s="233"/>
      <c r="AM139" s="233"/>
      <c r="AN139" s="233"/>
      <c r="AO139" s="233"/>
      <c r="AP139" s="233"/>
      <c r="AQ139" s="233"/>
      <c r="AR139" s="233"/>
      <c r="AS139" s="233"/>
      <c r="AT139" s="233"/>
      <c r="AU139" s="233"/>
      <c r="AV139" s="233"/>
      <c r="AW139" s="233"/>
    </row>
    <row r="140" spans="1:49" x14ac:dyDescent="0.2">
      <c r="A140" s="233"/>
      <c r="B140" s="238"/>
      <c r="C140" s="238"/>
      <c r="D140" s="239"/>
      <c r="E140" s="239"/>
      <c r="F140" s="239"/>
      <c r="G140" s="239"/>
      <c r="H140" s="239"/>
      <c r="I140" s="239"/>
      <c r="J140" s="239"/>
      <c r="K140" s="239"/>
      <c r="L140" s="239"/>
      <c r="M140" s="239"/>
      <c r="N140" s="239"/>
      <c r="O140" s="239"/>
      <c r="P140" s="239"/>
      <c r="Q140" s="239"/>
      <c r="S140" s="239"/>
      <c r="T140" s="239"/>
      <c r="U140" s="239"/>
      <c r="V140" s="239"/>
      <c r="W140" s="239"/>
      <c r="X140" s="239"/>
      <c r="Y140" s="239"/>
      <c r="Z140" s="239"/>
      <c r="AA140" s="237"/>
      <c r="AB140" s="237"/>
      <c r="AC140" s="237"/>
      <c r="AD140" s="237"/>
      <c r="AE140" s="237"/>
      <c r="AF140" s="237"/>
      <c r="AG140" s="237"/>
      <c r="AH140" s="237"/>
      <c r="AI140" s="237"/>
      <c r="AJ140" s="237"/>
      <c r="AK140" s="238"/>
      <c r="AL140" s="233"/>
      <c r="AM140" s="233"/>
      <c r="AN140" s="233"/>
      <c r="AO140" s="233"/>
      <c r="AP140" s="233"/>
      <c r="AQ140" s="233"/>
      <c r="AR140" s="233"/>
      <c r="AS140" s="233"/>
      <c r="AT140" s="233"/>
      <c r="AU140" s="233"/>
      <c r="AV140" s="233"/>
      <c r="AW140" s="233"/>
    </row>
    <row r="141" spans="1:49" x14ac:dyDescent="0.2">
      <c r="A141" s="233"/>
      <c r="B141" s="238"/>
      <c r="C141" s="238"/>
      <c r="D141" s="239"/>
      <c r="E141" s="239"/>
      <c r="F141" s="239"/>
      <c r="G141" s="239"/>
      <c r="H141" s="239"/>
      <c r="I141" s="239"/>
      <c r="J141" s="239"/>
      <c r="K141" s="239"/>
      <c r="L141" s="239"/>
      <c r="M141" s="239"/>
      <c r="N141" s="239"/>
      <c r="O141" s="239"/>
      <c r="P141" s="239"/>
      <c r="Q141" s="239"/>
      <c r="S141" s="239"/>
      <c r="T141" s="239"/>
      <c r="U141" s="239"/>
      <c r="V141" s="239"/>
      <c r="W141" s="239"/>
      <c r="X141" s="239"/>
      <c r="Y141" s="239"/>
      <c r="Z141" s="239"/>
      <c r="AA141" s="239"/>
      <c r="AB141" s="239"/>
      <c r="AC141" s="239"/>
      <c r="AD141" s="239"/>
      <c r="AE141" s="239"/>
      <c r="AF141" s="239"/>
      <c r="AG141" s="239"/>
      <c r="AH141" s="239"/>
      <c r="AI141" s="239"/>
      <c r="AJ141" s="239"/>
      <c r="AK141" s="238"/>
      <c r="AL141" s="233"/>
      <c r="AM141" s="233"/>
      <c r="AN141" s="233"/>
      <c r="AO141" s="233"/>
      <c r="AP141" s="233"/>
      <c r="AQ141" s="233"/>
      <c r="AR141" s="233"/>
      <c r="AS141" s="233"/>
      <c r="AT141" s="233"/>
      <c r="AU141" s="233"/>
      <c r="AV141" s="233"/>
      <c r="AW141" s="233"/>
    </row>
    <row r="142" spans="1:49" x14ac:dyDescent="0.2">
      <c r="A142" s="233"/>
      <c r="B142" s="238"/>
      <c r="C142" s="238"/>
      <c r="D142" s="239"/>
      <c r="E142" s="239"/>
      <c r="F142" s="239"/>
      <c r="G142" s="239"/>
      <c r="H142" s="239"/>
      <c r="I142" s="239"/>
      <c r="J142" s="239"/>
      <c r="K142" s="239"/>
      <c r="L142" s="239"/>
      <c r="M142" s="239"/>
      <c r="N142" s="239"/>
      <c r="O142" s="239"/>
      <c r="P142" s="239"/>
      <c r="Q142" s="239"/>
      <c r="S142" s="239"/>
      <c r="T142" s="239"/>
      <c r="U142" s="239"/>
      <c r="V142" s="239"/>
      <c r="W142" s="239"/>
      <c r="X142" s="239"/>
      <c r="Y142" s="239"/>
      <c r="Z142" s="239"/>
      <c r="AA142" s="680">
        <f ca="1">NOW()</f>
        <v>44243.507407291669</v>
      </c>
      <c r="AB142" s="680"/>
      <c r="AC142" s="680"/>
      <c r="AD142" s="680"/>
      <c r="AE142" s="680"/>
      <c r="AF142" s="680"/>
      <c r="AG142" s="680"/>
      <c r="AH142" s="680"/>
      <c r="AI142" s="680"/>
      <c r="AJ142" s="680"/>
      <c r="AK142" s="238"/>
      <c r="AL142" s="233"/>
      <c r="AM142" s="233"/>
      <c r="AN142" s="233"/>
      <c r="AO142" s="233"/>
      <c r="AP142" s="233"/>
      <c r="AQ142" s="233"/>
      <c r="AR142" s="233"/>
      <c r="AS142" s="233"/>
      <c r="AT142" s="233"/>
      <c r="AU142" s="233"/>
      <c r="AV142" s="233"/>
      <c r="AW142" s="233"/>
    </row>
    <row r="143" spans="1:49" x14ac:dyDescent="0.2">
      <c r="A143" s="233"/>
      <c r="B143" s="238"/>
      <c r="C143" s="245" t="s">
        <v>9</v>
      </c>
      <c r="D143" s="239"/>
      <c r="E143" s="239"/>
      <c r="F143" s="239"/>
      <c r="G143" s="239"/>
      <c r="H143" s="239"/>
      <c r="I143" s="239"/>
      <c r="J143" s="239"/>
      <c r="K143" s="239"/>
      <c r="L143" s="239"/>
      <c r="M143" s="239"/>
      <c r="N143" s="239"/>
      <c r="O143" s="239"/>
      <c r="P143" s="239"/>
      <c r="Q143" s="239"/>
      <c r="R143" s="239"/>
      <c r="S143" s="239"/>
      <c r="T143" s="239"/>
      <c r="U143" s="239"/>
      <c r="V143" s="239"/>
      <c r="W143" s="239"/>
      <c r="X143" s="239"/>
      <c r="Y143" s="239"/>
      <c r="Z143" s="239"/>
      <c r="AA143" s="239"/>
      <c r="AB143" s="239"/>
      <c r="AC143" s="239"/>
      <c r="AD143" s="239"/>
      <c r="AE143" s="239"/>
      <c r="AF143" s="239"/>
      <c r="AG143" s="239"/>
      <c r="AH143" s="239"/>
      <c r="AI143" s="239"/>
      <c r="AJ143" s="239"/>
      <c r="AK143" s="238"/>
      <c r="AL143" s="233"/>
      <c r="AM143" s="233"/>
      <c r="AN143" s="233"/>
      <c r="AO143" s="233"/>
      <c r="AP143" s="233"/>
      <c r="AQ143" s="233"/>
      <c r="AR143" s="233"/>
      <c r="AS143" s="233"/>
      <c r="AT143" s="233"/>
      <c r="AU143" s="233"/>
      <c r="AV143" s="233"/>
      <c r="AW143" s="233"/>
    </row>
    <row r="144" spans="1:49" x14ac:dyDescent="0.2">
      <c r="A144" s="233"/>
      <c r="B144" s="238"/>
      <c r="C144" s="246" t="str">
        <f>enterprise!K10</f>
        <v>Nombre del contacto</v>
      </c>
      <c r="D144" s="247"/>
      <c r="E144" s="247"/>
      <c r="F144" s="247"/>
      <c r="G144" s="247"/>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39"/>
      <c r="AI144" s="239"/>
      <c r="AJ144" s="239"/>
      <c r="AK144" s="238"/>
      <c r="AL144" s="233"/>
      <c r="AM144" s="233"/>
      <c r="AN144" s="233"/>
      <c r="AO144" s="233"/>
      <c r="AP144" s="233"/>
      <c r="AQ144" s="233"/>
      <c r="AR144" s="233"/>
      <c r="AS144" s="233"/>
      <c r="AT144" s="233"/>
      <c r="AU144" s="233"/>
      <c r="AV144" s="233"/>
      <c r="AW144" s="233"/>
    </row>
    <row r="145" spans="1:49" x14ac:dyDescent="0.2">
      <c r="A145" s="233"/>
      <c r="B145" s="238"/>
      <c r="C145" s="238"/>
      <c r="D145" s="239"/>
      <c r="E145" s="239"/>
      <c r="F145" s="239"/>
      <c r="G145" s="239"/>
      <c r="H145" s="239"/>
      <c r="I145" s="239"/>
      <c r="J145" s="239"/>
      <c r="K145" s="239"/>
      <c r="L145" s="239"/>
      <c r="M145" s="239"/>
      <c r="N145" s="239"/>
      <c r="O145" s="239"/>
      <c r="P145" s="239"/>
      <c r="Q145" s="239"/>
      <c r="R145" s="239"/>
      <c r="S145" s="239"/>
      <c r="T145" s="239"/>
      <c r="U145" s="239"/>
      <c r="V145" s="239"/>
      <c r="W145" s="239"/>
      <c r="X145" s="239"/>
      <c r="Y145" s="239"/>
      <c r="Z145" s="239"/>
      <c r="AA145" s="239"/>
      <c r="AB145" s="239"/>
      <c r="AC145" s="239"/>
      <c r="AD145" s="239"/>
      <c r="AE145" s="239"/>
      <c r="AF145" s="239"/>
      <c r="AG145" s="239"/>
      <c r="AH145" s="239"/>
      <c r="AI145" s="239"/>
      <c r="AJ145" s="239"/>
      <c r="AK145" s="238"/>
      <c r="AL145" s="233"/>
      <c r="AM145" s="233"/>
      <c r="AN145" s="233"/>
      <c r="AO145" s="233"/>
      <c r="AP145" s="233"/>
      <c r="AQ145" s="233"/>
      <c r="AR145" s="233"/>
      <c r="AS145" s="233"/>
      <c r="AT145" s="233"/>
      <c r="AU145" s="233"/>
      <c r="AV145" s="233"/>
      <c r="AW145" s="233"/>
    </row>
    <row r="146" spans="1:49" x14ac:dyDescent="0.2">
      <c r="A146" s="233"/>
      <c r="B146" s="238"/>
      <c r="C146" s="238" t="s">
        <v>10</v>
      </c>
      <c r="D146" s="239"/>
      <c r="E146" s="239"/>
      <c r="F146" s="239"/>
      <c r="G146" s="239"/>
      <c r="H146" s="239"/>
      <c r="I146" s="239"/>
      <c r="J146" s="239"/>
      <c r="K146" s="239"/>
      <c r="L146" s="239"/>
      <c r="M146" s="239"/>
      <c r="N146" s="239"/>
      <c r="O146" s="239"/>
      <c r="P146" s="239"/>
      <c r="Q146" s="239"/>
      <c r="R146" s="239"/>
      <c r="S146" s="239"/>
      <c r="T146" s="239"/>
      <c r="U146" s="239"/>
      <c r="V146" s="239"/>
      <c r="W146" s="239"/>
      <c r="X146" s="239"/>
      <c r="Y146" s="239"/>
      <c r="Z146" s="239"/>
      <c r="AA146" s="239"/>
      <c r="AB146" s="239"/>
      <c r="AC146" s="239"/>
      <c r="AD146" s="239"/>
      <c r="AE146" s="239"/>
      <c r="AF146" s="239"/>
      <c r="AG146" s="239"/>
      <c r="AH146" s="239"/>
      <c r="AI146" s="239"/>
      <c r="AJ146" s="239"/>
      <c r="AK146" s="238"/>
      <c r="AL146" s="233"/>
      <c r="AM146" s="233"/>
      <c r="AN146" s="233"/>
      <c r="AO146" s="233"/>
      <c r="AP146" s="233"/>
      <c r="AQ146" s="233"/>
      <c r="AR146" s="233"/>
      <c r="AS146" s="233"/>
      <c r="AT146" s="233"/>
      <c r="AU146" s="233"/>
      <c r="AV146" s="233"/>
      <c r="AW146" s="233"/>
    </row>
    <row r="147" spans="1:49" x14ac:dyDescent="0.2">
      <c r="A147" s="233"/>
      <c r="B147" s="238"/>
      <c r="C147" s="238" t="s">
        <v>11</v>
      </c>
      <c r="D147" s="239"/>
      <c r="E147" s="239"/>
      <c r="F147" s="239"/>
      <c r="G147" s="239"/>
      <c r="H147" s="239"/>
      <c r="I147" s="239"/>
      <c r="J147" s="239"/>
      <c r="K147" s="239"/>
      <c r="L147" s="239"/>
      <c r="M147" s="239"/>
      <c r="N147" s="239"/>
      <c r="O147" s="239"/>
      <c r="P147" s="239"/>
      <c r="Q147" s="239"/>
      <c r="R147" s="239"/>
      <c r="S147" s="239"/>
      <c r="T147" s="239"/>
      <c r="U147" s="239"/>
      <c r="V147" s="239"/>
      <c r="W147" s="239"/>
      <c r="X147" s="239"/>
      <c r="Y147" s="239"/>
      <c r="Z147" s="239"/>
      <c r="AA147" s="239"/>
      <c r="AB147" s="239"/>
      <c r="AC147" s="239"/>
      <c r="AD147" s="239"/>
      <c r="AE147" s="239"/>
      <c r="AF147" s="239"/>
      <c r="AG147" s="239"/>
      <c r="AH147" s="239"/>
      <c r="AI147" s="239"/>
      <c r="AJ147" s="239"/>
      <c r="AK147" s="238"/>
      <c r="AL147" s="233"/>
      <c r="AM147" s="233"/>
      <c r="AN147" s="233"/>
      <c r="AO147" s="233"/>
      <c r="AP147" s="233"/>
      <c r="AQ147" s="233"/>
      <c r="AR147" s="233"/>
      <c r="AS147" s="233"/>
      <c r="AT147" s="233"/>
      <c r="AU147" s="233"/>
      <c r="AV147" s="233"/>
      <c r="AW147" s="233"/>
    </row>
    <row r="148" spans="1:49" s="251" customFormat="1" ht="11.25" x14ac:dyDescent="0.15">
      <c r="A148" s="248"/>
      <c r="B148" s="249"/>
      <c r="C148" s="249"/>
      <c r="D148" s="252"/>
      <c r="E148" s="252"/>
      <c r="F148" s="252"/>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252"/>
      <c r="AD148" s="252"/>
      <c r="AI148" s="305"/>
      <c r="AJ148" s="305"/>
      <c r="AK148" s="249"/>
      <c r="AL148" s="248"/>
      <c r="AM148" s="248"/>
      <c r="AN148" s="248"/>
      <c r="AO148" s="248"/>
      <c r="AP148" s="248"/>
      <c r="AQ148" s="248"/>
      <c r="AR148" s="248"/>
      <c r="AS148" s="248"/>
      <c r="AT148" s="248"/>
      <c r="AU148" s="248"/>
      <c r="AV148" s="248"/>
      <c r="AW148" s="248"/>
    </row>
    <row r="149" spans="1:49" s="251" customFormat="1" ht="11.25" x14ac:dyDescent="0.15">
      <c r="A149" s="248"/>
      <c r="B149" s="305"/>
      <c r="C149" s="305"/>
      <c r="D149" s="250" t="s">
        <v>12</v>
      </c>
      <c r="F149" s="252"/>
      <c r="G149" s="252"/>
      <c r="H149" s="252"/>
      <c r="I149" s="252"/>
      <c r="J149" s="252"/>
      <c r="K149" s="252"/>
      <c r="L149" s="252"/>
      <c r="M149" s="252"/>
      <c r="N149" s="252"/>
      <c r="O149" s="252"/>
      <c r="P149" s="252"/>
      <c r="Q149" s="681" t="str">
        <f>Field_Cliente</f>
        <v>Nombre del Cliente</v>
      </c>
      <c r="R149" s="682"/>
      <c r="S149" s="682"/>
      <c r="T149" s="682"/>
      <c r="U149" s="682"/>
      <c r="V149" s="682"/>
      <c r="W149" s="682"/>
      <c r="X149" s="682"/>
      <c r="Y149" s="682"/>
      <c r="Z149" s="682"/>
      <c r="AA149" s="682"/>
      <c r="AB149" s="682"/>
      <c r="AC149" s="682"/>
      <c r="AD149" s="682"/>
      <c r="AE149" s="682"/>
      <c r="AF149" s="682"/>
      <c r="AG149" s="682"/>
      <c r="AH149" s="305"/>
      <c r="AI149" s="305"/>
      <c r="AJ149" s="305"/>
      <c r="AK149" s="249"/>
      <c r="AL149" s="248"/>
      <c r="AM149" s="248"/>
      <c r="AN149" s="248"/>
      <c r="AO149" s="248"/>
      <c r="AP149" s="248"/>
      <c r="AQ149" s="248"/>
      <c r="AR149" s="248"/>
      <c r="AS149" s="248"/>
      <c r="AT149" s="248"/>
      <c r="AU149" s="248"/>
      <c r="AV149" s="248"/>
      <c r="AW149" s="248"/>
    </row>
    <row r="150" spans="1:49" s="251" customFormat="1" ht="11.25" x14ac:dyDescent="0.15">
      <c r="A150" s="248"/>
      <c r="B150" s="305"/>
      <c r="C150" s="305"/>
      <c r="D150" s="305"/>
      <c r="E150" s="252" t="s">
        <v>13</v>
      </c>
      <c r="F150" s="252"/>
      <c r="G150" s="252"/>
      <c r="H150" s="252"/>
      <c r="I150" s="252"/>
      <c r="J150" s="252"/>
      <c r="K150" s="252"/>
      <c r="L150" s="252"/>
      <c r="M150" s="252"/>
      <c r="N150" s="252"/>
      <c r="O150" s="252"/>
      <c r="P150" s="252"/>
      <c r="Q150" s="683" t="s">
        <v>33</v>
      </c>
      <c r="R150" s="683"/>
      <c r="S150" s="683"/>
      <c r="T150" s="683"/>
      <c r="U150" s="683"/>
      <c r="V150" s="253" t="str">
        <f>+IF(LEFT(Field_Moneda,3)="PES"," En Moneda Nacional","En Dólares Americanos")</f>
        <v xml:space="preserve"> En Moneda Nacional</v>
      </c>
      <c r="W150" s="461"/>
      <c r="X150" s="461"/>
      <c r="Y150" s="461"/>
      <c r="AA150" s="250"/>
      <c r="AB150" s="254"/>
      <c r="AC150" s="254"/>
      <c r="AD150" s="252"/>
      <c r="AE150" s="254"/>
      <c r="AF150" s="254"/>
      <c r="AK150" s="249"/>
      <c r="AL150" s="248"/>
      <c r="AM150" s="248"/>
      <c r="AN150" s="248"/>
      <c r="AO150" s="248"/>
      <c r="AP150" s="248"/>
      <c r="AQ150" s="248"/>
      <c r="AR150" s="248"/>
      <c r="AS150" s="248"/>
      <c r="AT150" s="248"/>
      <c r="AU150" s="248"/>
      <c r="AV150" s="248"/>
      <c r="AW150" s="248"/>
    </row>
    <row r="151" spans="1:49" s="251" customFormat="1" ht="11.25" x14ac:dyDescent="0.15">
      <c r="A151" s="248"/>
      <c r="B151" s="305"/>
      <c r="C151" s="305"/>
      <c r="D151" s="305"/>
      <c r="E151" s="252" t="s">
        <v>21</v>
      </c>
      <c r="F151" s="252"/>
      <c r="G151" s="252"/>
      <c r="H151" s="252"/>
      <c r="I151" s="252"/>
      <c r="J151" s="252"/>
      <c r="K151" s="252"/>
      <c r="L151" s="252"/>
      <c r="M151" s="252"/>
      <c r="N151" s="252"/>
      <c r="O151" s="252"/>
      <c r="P151" s="252"/>
      <c r="Q151" s="681" t="str">
        <f>Field_TipoEquipo</f>
        <v xml:space="preserve">Equipo de Transporte </v>
      </c>
      <c r="R151" s="681"/>
      <c r="S151" s="681"/>
      <c r="T151" s="681"/>
      <c r="U151" s="681"/>
      <c r="V151" s="461"/>
      <c r="X151" s="462" t="str">
        <f>IF(enterprise!J22="Sin Antena","","Con Antena")</f>
        <v>Con Antena</v>
      </c>
      <c r="Y151" s="462"/>
      <c r="Z151" s="461"/>
      <c r="AA151" s="461"/>
      <c r="AI151" s="305"/>
      <c r="AJ151" s="305"/>
      <c r="AK151" s="249"/>
      <c r="AL151" s="248"/>
      <c r="AM151" s="248"/>
      <c r="AN151" s="248"/>
      <c r="AO151" s="248"/>
      <c r="AP151" s="248"/>
      <c r="AQ151" s="248"/>
      <c r="AR151" s="248"/>
      <c r="AS151" s="248"/>
      <c r="AT151" s="248"/>
      <c r="AU151" s="248"/>
      <c r="AV151" s="248"/>
      <c r="AW151" s="248"/>
    </row>
    <row r="152" spans="1:49" s="251" customFormat="1" ht="13.35" customHeight="1" x14ac:dyDescent="0.15">
      <c r="A152" s="248"/>
      <c r="B152" s="305"/>
      <c r="C152" s="305"/>
      <c r="D152" s="305"/>
      <c r="E152" s="252" t="s">
        <v>14</v>
      </c>
      <c r="F152" s="252"/>
      <c r="G152" s="252"/>
      <c r="H152" s="252"/>
      <c r="I152" s="252"/>
      <c r="J152" s="252"/>
      <c r="K152" s="252"/>
      <c r="L152" s="252"/>
      <c r="M152" s="252"/>
      <c r="N152" s="252"/>
      <c r="O152" s="684">
        <f>Field_EquipoMontoTotal</f>
        <v>2740420.6896551726</v>
      </c>
      <c r="P152" s="684"/>
      <c r="Q152" s="684"/>
      <c r="R152" s="684"/>
      <c r="S152" s="684"/>
      <c r="T152" s="684"/>
      <c r="U152" s="256" t="s">
        <v>291</v>
      </c>
      <c r="X152" s="463" t="s">
        <v>289</v>
      </c>
      <c r="Y152" s="464"/>
      <c r="Z152" s="255"/>
      <c r="AA152" s="255"/>
      <c r="AF152" s="465"/>
      <c r="AG152" s="465"/>
      <c r="AH152" s="465"/>
      <c r="AI152" s="305"/>
      <c r="AJ152" s="305"/>
      <c r="AK152" s="249"/>
      <c r="AL152" s="248"/>
      <c r="AM152" s="248"/>
      <c r="AN152" s="248"/>
      <c r="AO152" s="248"/>
      <c r="AP152" s="248"/>
      <c r="AQ152" s="248"/>
      <c r="AR152" s="248"/>
      <c r="AS152" s="248"/>
      <c r="AT152" s="248"/>
      <c r="AU152" s="248"/>
      <c r="AV152" s="248"/>
      <c r="AW152" s="248"/>
    </row>
    <row r="153" spans="1:49" s="251" customFormat="1" ht="11.25" x14ac:dyDescent="0.15">
      <c r="A153" s="248"/>
      <c r="B153" s="305"/>
      <c r="C153" s="305"/>
      <c r="D153" s="305"/>
      <c r="E153" s="252" t="s">
        <v>15</v>
      </c>
      <c r="F153" s="252"/>
      <c r="G153" s="252"/>
      <c r="H153" s="252"/>
      <c r="I153" s="252"/>
      <c r="J153" s="252"/>
      <c r="K153" s="252"/>
      <c r="L153" s="252"/>
      <c r="M153" s="252"/>
      <c r="N153" s="252"/>
      <c r="O153" s="252"/>
      <c r="P153" s="252"/>
      <c r="Q153" s="685" t="s">
        <v>16</v>
      </c>
      <c r="R153" s="685"/>
      <c r="S153" s="685"/>
      <c r="T153" s="685"/>
      <c r="U153" s="685"/>
      <c r="V153" s="685"/>
      <c r="W153" s="685"/>
      <c r="X153" s="685"/>
      <c r="Y153" s="685"/>
      <c r="Z153" s="685"/>
      <c r="AA153" s="685"/>
      <c r="AB153" s="685"/>
      <c r="AC153" s="685"/>
      <c r="AD153" s="685"/>
      <c r="AE153" s="685"/>
      <c r="AF153" s="685"/>
      <c r="AG153" s="685"/>
      <c r="AH153" s="305"/>
      <c r="AI153" s="305"/>
      <c r="AJ153" s="305"/>
      <c r="AK153" s="249"/>
      <c r="AL153" s="248"/>
      <c r="AM153" s="248"/>
      <c r="AN153" s="248"/>
      <c r="AO153" s="248"/>
      <c r="AP153" s="248"/>
      <c r="AQ153" s="248"/>
      <c r="AR153" s="248"/>
      <c r="AS153" s="248"/>
      <c r="AT153" s="248"/>
      <c r="AU153" s="248"/>
      <c r="AV153" s="248"/>
      <c r="AW153" s="248"/>
    </row>
    <row r="154" spans="1:49" s="251" customFormat="1" x14ac:dyDescent="0.2">
      <c r="A154" s="248"/>
      <c r="B154" s="238"/>
      <c r="C154" s="238"/>
      <c r="D154" s="239"/>
      <c r="E154" s="239"/>
      <c r="F154" s="239"/>
      <c r="G154" s="239"/>
      <c r="H154" s="239"/>
      <c r="I154" s="239"/>
      <c r="J154" s="239"/>
      <c r="K154" s="239"/>
      <c r="L154" s="239"/>
      <c r="M154" s="239"/>
      <c r="N154" s="239"/>
      <c r="O154" s="239"/>
      <c r="P154" s="239"/>
      <c r="Q154" s="239"/>
      <c r="R154" s="239"/>
      <c r="S154" s="239"/>
      <c r="T154" s="239"/>
      <c r="U154" s="239"/>
      <c r="V154" s="239"/>
      <c r="W154" s="239"/>
      <c r="X154" s="239"/>
      <c r="Y154" s="239"/>
      <c r="Z154" s="239"/>
      <c r="AA154" s="239"/>
      <c r="AB154" s="239"/>
      <c r="AC154" s="239"/>
      <c r="AD154" s="239"/>
      <c r="AE154" s="239"/>
      <c r="AF154" s="239"/>
      <c r="AG154" s="239"/>
      <c r="AH154" s="239"/>
      <c r="AI154" s="239"/>
      <c r="AJ154" s="239"/>
      <c r="AK154" s="238"/>
      <c r="AL154" s="248"/>
      <c r="AM154" s="248"/>
      <c r="AN154" s="248"/>
      <c r="AO154" s="248"/>
      <c r="AP154" s="248"/>
      <c r="AQ154" s="248"/>
      <c r="AR154" s="248"/>
      <c r="AS154" s="248"/>
      <c r="AT154" s="248"/>
      <c r="AU154" s="248"/>
      <c r="AV154" s="248"/>
      <c r="AW154" s="248"/>
    </row>
    <row r="155" spans="1:49" s="251" customFormat="1" x14ac:dyDescent="0.2">
      <c r="A155" s="248"/>
      <c r="B155" s="238"/>
      <c r="C155" s="238"/>
      <c r="D155" s="477" t="str">
        <f>"Equipo Cotizado en "&amp;+IF(LEFT(Field_MonEq,3)="PES","Moneda Nacional","Dólares Americanos")</f>
        <v>Equipo Cotizado en Moneda Nacional</v>
      </c>
      <c r="E155" s="239"/>
      <c r="F155" s="239"/>
      <c r="G155" s="239"/>
      <c r="H155" s="239"/>
      <c r="I155" s="239"/>
      <c r="J155" s="239"/>
      <c r="K155" s="239"/>
      <c r="L155" s="239"/>
      <c r="M155" s="239"/>
      <c r="N155" s="239"/>
      <c r="O155" s="239"/>
      <c r="P155" s="239"/>
      <c r="Q155" s="239"/>
      <c r="R155" s="234"/>
      <c r="S155" s="234"/>
      <c r="T155" s="239"/>
      <c r="U155" s="239"/>
      <c r="V155" s="239"/>
      <c r="W155" s="239"/>
      <c r="X155" s="239"/>
      <c r="Y155" s="239"/>
      <c r="Z155" s="239"/>
      <c r="AA155" s="239"/>
      <c r="AB155" s="478" t="str">
        <f t="shared" ref="AB155:AB160" si="3">IF(LEFT(Field_MonEq,3)="PES","","Tipo de Cambio")</f>
        <v/>
      </c>
      <c r="AC155" s="239"/>
      <c r="AD155" s="239"/>
      <c r="AE155" s="239"/>
      <c r="AF155" s="624" t="str">
        <f t="shared" ref="AF155:AF161" si="4">IF(LEFT(Field_MonEq,3)="PES","",Field_TC)</f>
        <v/>
      </c>
      <c r="AG155" s="624"/>
      <c r="AH155" s="624"/>
      <c r="AI155" s="239"/>
      <c r="AJ155" s="239"/>
      <c r="AK155" s="238"/>
      <c r="AL155" s="248"/>
      <c r="AM155" s="248"/>
      <c r="AN155" s="248"/>
      <c r="AO155" s="248"/>
      <c r="AP155" s="248"/>
      <c r="AQ155" s="248"/>
      <c r="AR155" s="248"/>
      <c r="AS155" s="248"/>
      <c r="AT155" s="248"/>
      <c r="AU155" s="248"/>
      <c r="AV155" s="248"/>
      <c r="AW155" s="248"/>
    </row>
    <row r="156" spans="1:49" s="251" customFormat="1" x14ac:dyDescent="0.2">
      <c r="A156" s="248"/>
      <c r="B156" s="473"/>
      <c r="C156" s="473"/>
      <c r="D156" s="614" t="s">
        <v>292</v>
      </c>
      <c r="E156" s="615"/>
      <c r="F156" s="615"/>
      <c r="G156" s="614" t="s">
        <v>54</v>
      </c>
      <c r="H156" s="615"/>
      <c r="I156" s="615"/>
      <c r="J156" s="615"/>
      <c r="K156" s="615"/>
      <c r="L156" s="615"/>
      <c r="M156" s="615"/>
      <c r="N156" s="615"/>
      <c r="O156" s="705"/>
      <c r="P156" s="614" t="s">
        <v>293</v>
      </c>
      <c r="Q156" s="615"/>
      <c r="R156" s="615"/>
      <c r="S156" s="615"/>
      <c r="T156" s="614" t="s">
        <v>294</v>
      </c>
      <c r="U156" s="615"/>
      <c r="V156" s="615"/>
      <c r="W156" s="615"/>
      <c r="X156" s="615"/>
      <c r="Y156" s="615"/>
      <c r="Z156" s="239"/>
      <c r="AA156" s="239"/>
      <c r="AB156" s="478" t="str">
        <f t="shared" si="3"/>
        <v/>
      </c>
      <c r="AC156" s="239"/>
      <c r="AD156" s="239"/>
      <c r="AE156" s="239"/>
      <c r="AF156" s="624" t="str">
        <f t="shared" si="4"/>
        <v/>
      </c>
      <c r="AG156" s="624"/>
      <c r="AH156" s="624"/>
      <c r="AI156" s="474"/>
      <c r="AJ156" s="474"/>
      <c r="AK156" s="473"/>
      <c r="AL156" s="248"/>
      <c r="AM156" s="248"/>
      <c r="AN156" s="248"/>
      <c r="AO156" s="248"/>
      <c r="AP156" s="248"/>
      <c r="AQ156" s="248"/>
      <c r="AR156" s="248"/>
      <c r="AS156" s="248"/>
      <c r="AT156" s="248"/>
      <c r="AU156" s="248"/>
      <c r="AV156" s="248"/>
      <c r="AW156" s="248"/>
    </row>
    <row r="157" spans="1:49" s="251" customFormat="1" x14ac:dyDescent="0.2">
      <c r="A157" s="248"/>
      <c r="B157" s="238"/>
      <c r="C157" s="238"/>
      <c r="D157" s="616">
        <f>enterprise!$F$26</f>
        <v>2</v>
      </c>
      <c r="E157" s="617"/>
      <c r="F157" s="617"/>
      <c r="G157" s="706" t="str">
        <f>IF(enterprise!G154 &lt;&gt;"",enterprise!$G$26,"")</f>
        <v/>
      </c>
      <c r="H157" s="707"/>
      <c r="I157" s="707"/>
      <c r="J157" s="707"/>
      <c r="K157" s="707"/>
      <c r="L157" s="707"/>
      <c r="M157" s="707"/>
      <c r="N157" s="707"/>
      <c r="O157" s="708"/>
      <c r="P157" s="637">
        <f>enterprise!$K$26</f>
        <v>991379.31034482771</v>
      </c>
      <c r="Q157" s="637"/>
      <c r="R157" s="637"/>
      <c r="S157" s="637"/>
      <c r="T157" s="637">
        <f>enterprise!$M$26</f>
        <v>1982758.6206896554</v>
      </c>
      <c r="U157" s="637"/>
      <c r="V157" s="637"/>
      <c r="W157" s="637"/>
      <c r="X157" s="637"/>
      <c r="Y157" s="709"/>
      <c r="Z157" s="239"/>
      <c r="AA157" s="239"/>
      <c r="AB157" s="478" t="str">
        <f t="shared" si="3"/>
        <v/>
      </c>
      <c r="AC157" s="239"/>
      <c r="AD157" s="239"/>
      <c r="AE157" s="239"/>
      <c r="AF157" s="624" t="str">
        <f t="shared" si="4"/>
        <v/>
      </c>
      <c r="AG157" s="624"/>
      <c r="AH157" s="624"/>
      <c r="AI157" s="239"/>
      <c r="AJ157" s="239"/>
      <c r="AK157" s="238"/>
      <c r="AL157" s="248"/>
      <c r="AM157" s="248"/>
      <c r="AN157" s="248"/>
      <c r="AO157" s="248"/>
      <c r="AP157" s="248"/>
      <c r="AQ157" s="248"/>
      <c r="AR157" s="248"/>
      <c r="AS157" s="248"/>
      <c r="AT157" s="248"/>
      <c r="AU157" s="248"/>
      <c r="AV157" s="248"/>
      <c r="AW157" s="248"/>
    </row>
    <row r="158" spans="1:49" s="251" customFormat="1" x14ac:dyDescent="0.2">
      <c r="A158" s="248"/>
      <c r="B158" s="238"/>
      <c r="C158" s="238"/>
      <c r="D158" s="611">
        <f>enterprise!$F$27</f>
        <v>1</v>
      </c>
      <c r="E158" s="612"/>
      <c r="F158" s="613"/>
      <c r="G158" s="686" t="str">
        <f>IF(enterprise!G155 &lt;&gt;"",enterprise!$G$27,"")</f>
        <v/>
      </c>
      <c r="H158" s="686"/>
      <c r="I158" s="686"/>
      <c r="J158" s="686"/>
      <c r="K158" s="686"/>
      <c r="L158" s="686"/>
      <c r="M158" s="686"/>
      <c r="N158" s="686"/>
      <c r="O158" s="686"/>
      <c r="P158" s="635">
        <f>enterprise!$K$27</f>
        <v>757662.06896551733</v>
      </c>
      <c r="Q158" s="636"/>
      <c r="R158" s="636"/>
      <c r="S158" s="636"/>
      <c r="T158" s="636">
        <f>enterprise!$M$27</f>
        <v>757662.06896551733</v>
      </c>
      <c r="U158" s="636"/>
      <c r="V158" s="636"/>
      <c r="W158" s="636"/>
      <c r="X158" s="636"/>
      <c r="Y158" s="638"/>
      <c r="Z158" s="239"/>
      <c r="AA158" s="239"/>
      <c r="AB158" s="478" t="str">
        <f t="shared" si="3"/>
        <v/>
      </c>
      <c r="AC158" s="239"/>
      <c r="AD158" s="239"/>
      <c r="AE158" s="239"/>
      <c r="AF158" s="624" t="str">
        <f t="shared" si="4"/>
        <v/>
      </c>
      <c r="AG158" s="624"/>
      <c r="AH158" s="624"/>
      <c r="AI158" s="239"/>
      <c r="AJ158" s="239"/>
      <c r="AK158" s="238"/>
      <c r="AL158" s="248"/>
      <c r="AM158" s="248"/>
      <c r="AN158" s="248"/>
      <c r="AO158" s="248"/>
      <c r="AP158" s="248"/>
      <c r="AQ158" s="248"/>
      <c r="AR158" s="248"/>
      <c r="AS158" s="248"/>
      <c r="AT158" s="248"/>
      <c r="AU158" s="248"/>
      <c r="AV158" s="248"/>
      <c r="AW158" s="248"/>
    </row>
    <row r="159" spans="1:49" s="251" customFormat="1" x14ac:dyDescent="0.2">
      <c r="A159" s="248"/>
      <c r="B159" s="238"/>
      <c r="C159" s="238"/>
      <c r="D159" s="611">
        <f>enterprise!$F$28</f>
        <v>0</v>
      </c>
      <c r="E159" s="612"/>
      <c r="F159" s="613"/>
      <c r="G159" s="686" t="str">
        <f>IF(enterprise!G156 &lt;&gt;"",enterprise!$G$28,"")</f>
        <v/>
      </c>
      <c r="H159" s="686"/>
      <c r="I159" s="686"/>
      <c r="J159" s="686"/>
      <c r="K159" s="686"/>
      <c r="L159" s="686"/>
      <c r="M159" s="686"/>
      <c r="N159" s="686"/>
      <c r="O159" s="686"/>
      <c r="P159" s="635" t="str">
        <f>enterprise!$K$28</f>
        <v/>
      </c>
      <c r="Q159" s="636"/>
      <c r="R159" s="636"/>
      <c r="S159" s="636"/>
      <c r="T159" s="636">
        <f>enterprise!$M$28</f>
        <v>0</v>
      </c>
      <c r="U159" s="636"/>
      <c r="V159" s="636"/>
      <c r="W159" s="636"/>
      <c r="X159" s="636"/>
      <c r="Y159" s="638"/>
      <c r="Z159" s="239"/>
      <c r="AA159" s="239"/>
      <c r="AB159" s="478" t="str">
        <f t="shared" si="3"/>
        <v/>
      </c>
      <c r="AC159" s="239"/>
      <c r="AD159" s="239"/>
      <c r="AE159" s="239"/>
      <c r="AF159" s="624" t="str">
        <f t="shared" si="4"/>
        <v/>
      </c>
      <c r="AG159" s="624"/>
      <c r="AH159" s="624"/>
      <c r="AI159" s="239"/>
      <c r="AJ159" s="239"/>
      <c r="AK159" s="238"/>
      <c r="AL159" s="248"/>
      <c r="AM159" s="248"/>
      <c r="AN159" s="248"/>
      <c r="AO159" s="248"/>
      <c r="AP159" s="248"/>
      <c r="AQ159" s="248"/>
      <c r="AR159" s="248"/>
      <c r="AS159" s="248"/>
      <c r="AT159" s="248"/>
      <c r="AU159" s="248"/>
      <c r="AV159" s="248"/>
      <c r="AW159" s="248"/>
    </row>
    <row r="160" spans="1:49" s="251" customFormat="1" x14ac:dyDescent="0.2">
      <c r="A160" s="248"/>
      <c r="B160" s="238"/>
      <c r="C160" s="238"/>
      <c r="D160" s="618">
        <f>enterprise!$F$29</f>
        <v>0</v>
      </c>
      <c r="E160" s="619"/>
      <c r="F160" s="620"/>
      <c r="G160" s="687" t="str">
        <f>IF(enterprise!G157 &lt;&gt;"",enterprise!$G$29,"")</f>
        <v/>
      </c>
      <c r="H160" s="687"/>
      <c r="I160" s="687"/>
      <c r="J160" s="687"/>
      <c r="K160" s="687"/>
      <c r="L160" s="687"/>
      <c r="M160" s="687"/>
      <c r="N160" s="687"/>
      <c r="O160" s="687"/>
      <c r="P160" s="621" t="str">
        <f>enterprise!$K$29</f>
        <v/>
      </c>
      <c r="Q160" s="622"/>
      <c r="R160" s="622"/>
      <c r="S160" s="622"/>
      <c r="T160" s="622">
        <f>enterprise!$M$29</f>
        <v>0</v>
      </c>
      <c r="U160" s="622"/>
      <c r="V160" s="622"/>
      <c r="W160" s="622"/>
      <c r="X160" s="622"/>
      <c r="Y160" s="623"/>
      <c r="Z160" s="239"/>
      <c r="AA160" s="239"/>
      <c r="AB160" s="478" t="str">
        <f t="shared" si="3"/>
        <v/>
      </c>
      <c r="AC160" s="239"/>
      <c r="AD160" s="239"/>
      <c r="AE160" s="239"/>
      <c r="AF160" s="624" t="str">
        <f t="shared" si="4"/>
        <v/>
      </c>
      <c r="AG160" s="624"/>
      <c r="AH160" s="624"/>
      <c r="AI160" s="239"/>
      <c r="AJ160" s="239"/>
      <c r="AK160" s="238"/>
      <c r="AL160" s="248"/>
      <c r="AM160" s="248"/>
      <c r="AN160" s="248"/>
      <c r="AO160" s="248"/>
      <c r="AP160" s="248"/>
      <c r="AQ160" s="248"/>
      <c r="AR160" s="248"/>
      <c r="AS160" s="248"/>
      <c r="AT160" s="248"/>
      <c r="AU160" s="248"/>
      <c r="AV160" s="248"/>
      <c r="AW160" s="248"/>
    </row>
    <row r="161" spans="1:49" s="251" customFormat="1" x14ac:dyDescent="0.2">
      <c r="A161" s="248"/>
      <c r="B161" s="238"/>
      <c r="C161" s="238"/>
      <c r="D161" s="238"/>
      <c r="E161" s="238"/>
      <c r="F161" s="238"/>
      <c r="G161" s="238"/>
      <c r="H161" s="238"/>
      <c r="I161" s="238"/>
      <c r="J161" s="238"/>
      <c r="K161" s="238"/>
      <c r="L161" s="238"/>
      <c r="M161" s="238"/>
      <c r="N161" s="238"/>
      <c r="O161" s="238"/>
      <c r="P161" s="238"/>
      <c r="Q161" s="238"/>
      <c r="R161" s="476" t="s">
        <v>308</v>
      </c>
      <c r="S161" s="245"/>
      <c r="T161" s="632">
        <f>enterprise!$M$30</f>
        <v>2740420.6896551726</v>
      </c>
      <c r="U161" s="633"/>
      <c r="V161" s="633"/>
      <c r="W161" s="633"/>
      <c r="X161" s="633"/>
      <c r="Y161" s="634"/>
      <c r="Z161" s="639" t="str">
        <f>+IF(LEFT(Field_MonEq,3)="PES","MXN","USD")</f>
        <v>MXN</v>
      </c>
      <c r="AA161" s="640"/>
      <c r="AB161" s="245"/>
      <c r="AC161" s="239"/>
      <c r="AD161" s="239"/>
      <c r="AE161" s="239"/>
      <c r="AF161" s="624" t="str">
        <f t="shared" si="4"/>
        <v/>
      </c>
      <c r="AG161" s="624"/>
      <c r="AH161" s="624"/>
      <c r="AI161" s="486"/>
      <c r="AJ161" s="486"/>
      <c r="AK161" s="238"/>
      <c r="AL161" s="248"/>
      <c r="AM161" s="248"/>
      <c r="AN161" s="248"/>
      <c r="AO161" s="248"/>
      <c r="AP161" s="248"/>
      <c r="AQ161" s="248"/>
      <c r="AR161" s="248"/>
      <c r="AS161" s="248"/>
      <c r="AT161" s="248"/>
      <c r="AU161" s="248"/>
      <c r="AV161" s="248"/>
      <c r="AW161" s="248"/>
    </row>
    <row r="162" spans="1:49" s="251" customFormat="1" x14ac:dyDescent="0.2">
      <c r="A162" s="248"/>
      <c r="B162" s="305"/>
      <c r="C162" s="305"/>
      <c r="D162" s="305"/>
      <c r="E162" s="252"/>
      <c r="F162" s="252"/>
      <c r="G162" s="252"/>
      <c r="H162" s="252"/>
      <c r="I162" s="252"/>
      <c r="J162" s="252"/>
      <c r="K162" s="252"/>
      <c r="L162" s="252"/>
      <c r="M162" s="252"/>
      <c r="N162" s="252"/>
      <c r="O162" s="252"/>
      <c r="P162" s="252"/>
      <c r="Q162" s="460"/>
      <c r="R162" s="476" t="s">
        <v>307</v>
      </c>
      <c r="S162" s="245"/>
      <c r="T162" s="688">
        <f>T161* Field_PorcentajeIVA</f>
        <v>438467.31034482765</v>
      </c>
      <c r="U162" s="689"/>
      <c r="V162" s="689"/>
      <c r="W162" s="689"/>
      <c r="X162" s="689"/>
      <c r="Y162" s="690"/>
      <c r="Z162" s="460"/>
      <c r="AA162" s="460"/>
      <c r="AB162" s="460"/>
      <c r="AC162" s="460"/>
      <c r="AD162" s="460"/>
      <c r="AE162" s="460"/>
      <c r="AF162" s="460"/>
      <c r="AG162" s="460"/>
      <c r="AH162" s="305"/>
      <c r="AI162" s="305"/>
      <c r="AJ162" s="305"/>
      <c r="AK162" s="249"/>
      <c r="AL162" s="248"/>
      <c r="AM162" s="248"/>
      <c r="AN162" s="248"/>
      <c r="AO162" s="248"/>
      <c r="AP162" s="248"/>
      <c r="AQ162" s="248"/>
      <c r="AR162" s="248"/>
      <c r="AS162" s="248"/>
      <c r="AT162" s="248"/>
      <c r="AU162" s="248"/>
      <c r="AV162" s="248"/>
      <c r="AW162" s="248"/>
    </row>
    <row r="163" spans="1:49" s="251" customFormat="1" x14ac:dyDescent="0.2">
      <c r="A163" s="248"/>
      <c r="B163" s="305"/>
      <c r="C163" s="305"/>
      <c r="D163" s="305"/>
      <c r="E163" s="252"/>
      <c r="F163" s="252"/>
      <c r="G163" s="252"/>
      <c r="H163" s="252"/>
      <c r="I163" s="252"/>
      <c r="J163" s="252"/>
      <c r="K163" s="252"/>
      <c r="L163" s="252"/>
      <c r="M163" s="252"/>
      <c r="N163" s="252"/>
      <c r="O163" s="252"/>
      <c r="P163" s="252"/>
      <c r="Q163" s="460"/>
      <c r="R163" s="476" t="s">
        <v>294</v>
      </c>
      <c r="S163" s="245"/>
      <c r="T163" s="688">
        <f>T161+T162</f>
        <v>3178888.0000000005</v>
      </c>
      <c r="U163" s="689"/>
      <c r="V163" s="689"/>
      <c r="W163" s="689"/>
      <c r="X163" s="689"/>
      <c r="Y163" s="690"/>
      <c r="Z163" s="460"/>
      <c r="AA163" s="460"/>
      <c r="AB163" s="460"/>
      <c r="AC163" s="460"/>
      <c r="AD163" s="460"/>
      <c r="AE163" s="460"/>
      <c r="AF163" s="460"/>
      <c r="AG163" s="460"/>
      <c r="AH163" s="305"/>
      <c r="AI163" s="305"/>
      <c r="AJ163" s="305"/>
      <c r="AK163" s="249"/>
      <c r="AL163" s="248"/>
      <c r="AM163" s="248"/>
      <c r="AN163" s="248"/>
      <c r="AO163" s="248"/>
      <c r="AP163" s="248"/>
      <c r="AQ163" s="248"/>
      <c r="AR163" s="248"/>
      <c r="AS163" s="248"/>
      <c r="AT163" s="248"/>
      <c r="AU163" s="248"/>
      <c r="AV163" s="248"/>
      <c r="AW163" s="248"/>
    </row>
    <row r="164" spans="1:49" s="251" customFormat="1" x14ac:dyDescent="0.2">
      <c r="A164" s="248"/>
      <c r="B164" s="305"/>
      <c r="C164" s="305"/>
      <c r="D164" s="305"/>
      <c r="E164" s="252"/>
      <c r="F164" s="252"/>
      <c r="G164" s="252"/>
      <c r="H164" s="252"/>
      <c r="I164" s="252"/>
      <c r="J164" s="252"/>
      <c r="K164" s="252"/>
      <c r="L164" s="252"/>
      <c r="M164" s="252"/>
      <c r="N164" s="252"/>
      <c r="O164" s="252"/>
      <c r="P164" s="252"/>
      <c r="Q164" s="480"/>
      <c r="R164" s="476"/>
      <c r="S164" s="245"/>
      <c r="T164" s="487"/>
      <c r="U164" s="487"/>
      <c r="V164" s="487"/>
      <c r="W164" s="487"/>
      <c r="X164" s="487"/>
      <c r="Y164" s="487"/>
      <c r="Z164" s="480"/>
      <c r="AA164" s="480"/>
      <c r="AB164" s="480"/>
      <c r="AC164" s="480"/>
      <c r="AD164" s="480"/>
      <c r="AE164" s="480"/>
      <c r="AF164" s="480"/>
      <c r="AG164" s="480"/>
      <c r="AH164" s="305"/>
      <c r="AI164" s="305"/>
      <c r="AJ164" s="305"/>
      <c r="AK164" s="249"/>
      <c r="AL164" s="248"/>
      <c r="AM164" s="248"/>
      <c r="AN164" s="248"/>
      <c r="AO164" s="248"/>
      <c r="AP164" s="248"/>
      <c r="AQ164" s="248"/>
      <c r="AR164" s="248"/>
      <c r="AS164" s="248"/>
      <c r="AT164" s="248"/>
      <c r="AU164" s="248"/>
      <c r="AV164" s="248"/>
      <c r="AW164" s="248"/>
    </row>
    <row r="165" spans="1:49" x14ac:dyDescent="0.2">
      <c r="A165" s="233"/>
      <c r="B165" s="238"/>
      <c r="C165" s="238"/>
      <c r="D165" s="250" t="s">
        <v>25</v>
      </c>
      <c r="E165" s="257"/>
      <c r="F165" s="257"/>
      <c r="G165" s="257"/>
      <c r="H165" s="257"/>
      <c r="I165" s="257"/>
      <c r="J165" s="257"/>
      <c r="K165" s="257"/>
      <c r="L165" s="672">
        <f ca="1">IFERROR(INDIRECT("Field_Plazo" &amp; Field_Pos_1),0)</f>
        <v>24</v>
      </c>
      <c r="M165" s="673"/>
      <c r="N165" s="673"/>
      <c r="O165" s="674" t="str">
        <f ca="1">IF(L165&gt;0,"MESES",0)</f>
        <v>MESES</v>
      </c>
      <c r="P165" s="674"/>
      <c r="Q165" s="674"/>
      <c r="R165" s="675"/>
      <c r="S165" s="258"/>
      <c r="T165" s="676">
        <f ca="1">IFERROR(INDIRECT("Field_Plazo" &amp; Field_Pos_2),0)</f>
        <v>36</v>
      </c>
      <c r="U165" s="677"/>
      <c r="V165" s="677"/>
      <c r="W165" s="678" t="str">
        <f ca="1">IF(T165&gt;0,"MESES",0)</f>
        <v>MESES</v>
      </c>
      <c r="X165" s="678"/>
      <c r="Y165" s="678"/>
      <c r="Z165" s="679"/>
      <c r="AA165" s="259"/>
      <c r="AB165" s="672">
        <f ca="1">IFERROR(INDIRECT("Field_Plazo" &amp; Field_Pos_3),0)</f>
        <v>48</v>
      </c>
      <c r="AC165" s="673"/>
      <c r="AD165" s="673"/>
      <c r="AE165" s="674" t="str">
        <f ca="1">IF(AB165&gt;0,"MESES",0)</f>
        <v>MESES</v>
      </c>
      <c r="AF165" s="674"/>
      <c r="AG165" s="674"/>
      <c r="AH165" s="675"/>
      <c r="AI165" s="260"/>
      <c r="AJ165" s="237"/>
      <c r="AK165" s="238"/>
      <c r="AL165" s="233"/>
      <c r="AM165" s="233"/>
      <c r="AN165" s="233"/>
      <c r="AO165" s="233"/>
      <c r="AP165" s="233"/>
      <c r="AQ165" s="233"/>
      <c r="AR165" s="233"/>
      <c r="AS165" s="233"/>
      <c r="AT165" s="233"/>
      <c r="AU165" s="233"/>
      <c r="AV165" s="233"/>
      <c r="AW165" s="233"/>
    </row>
    <row r="166" spans="1:49" x14ac:dyDescent="0.2">
      <c r="A166" s="233"/>
      <c r="B166" s="238"/>
      <c r="C166" s="238"/>
      <c r="D166" s="252"/>
      <c r="E166" s="257"/>
      <c r="F166" s="257"/>
      <c r="G166" s="257"/>
      <c r="H166" s="257"/>
      <c r="I166" s="257"/>
      <c r="J166" s="257"/>
      <c r="K166" s="257"/>
      <c r="L166" s="306"/>
      <c r="M166" s="307"/>
      <c r="N166" s="307"/>
      <c r="O166" s="307"/>
      <c r="P166" s="307"/>
      <c r="Q166" s="307"/>
      <c r="R166" s="308"/>
      <c r="S166" s="286"/>
      <c r="T166" s="285"/>
      <c r="U166" s="286"/>
      <c r="V166" s="286"/>
      <c r="W166" s="286"/>
      <c r="X166" s="286"/>
      <c r="Y166" s="286"/>
      <c r="Z166" s="287"/>
      <c r="AA166" s="259"/>
      <c r="AB166" s="288"/>
      <c r="AC166" s="289"/>
      <c r="AD166" s="289"/>
      <c r="AE166" s="289"/>
      <c r="AF166" s="289"/>
      <c r="AG166" s="289"/>
      <c r="AH166" s="290"/>
      <c r="AI166" s="260"/>
      <c r="AJ166" s="237"/>
      <c r="AK166" s="238"/>
      <c r="AL166" s="233"/>
      <c r="AM166" s="233"/>
      <c r="AN166" s="233"/>
      <c r="AO166" s="233"/>
      <c r="AP166" s="233"/>
      <c r="AQ166" s="233"/>
      <c r="AR166" s="233"/>
      <c r="AS166" s="233"/>
      <c r="AT166" s="233"/>
      <c r="AU166" s="233"/>
      <c r="AV166" s="233"/>
      <c r="AW166" s="233"/>
    </row>
    <row r="167" spans="1:49" x14ac:dyDescent="0.2">
      <c r="A167" s="233"/>
      <c r="B167" s="238"/>
      <c r="C167" s="238"/>
      <c r="D167" s="257" t="s">
        <v>50</v>
      </c>
      <c r="E167" s="261"/>
      <c r="F167" s="257"/>
      <c r="G167" s="257"/>
      <c r="H167" s="257"/>
      <c r="I167" s="257"/>
      <c r="J167" s="257"/>
      <c r="K167" s="257"/>
      <c r="L167" s="291"/>
      <c r="M167" s="262"/>
      <c r="N167" s="650">
        <f ca="1">IFERROR(INDIRECT("Field_Renta_S" &amp; Field_Pos_1),0)</f>
        <v>135346.17101591753</v>
      </c>
      <c r="O167" s="650"/>
      <c r="P167" s="650"/>
      <c r="Q167" s="650"/>
      <c r="R167" s="656"/>
      <c r="S167" s="262"/>
      <c r="T167" s="291"/>
      <c r="U167" s="262"/>
      <c r="V167" s="650">
        <f ca="1">IFERROR(INDIRECT("Field_Renta_S" &amp; Field_Pos_2),0)</f>
        <v>96054.221743312213</v>
      </c>
      <c r="W167" s="650"/>
      <c r="X167" s="650"/>
      <c r="Y167" s="650"/>
      <c r="Z167" s="656"/>
      <c r="AA167" s="263"/>
      <c r="AB167" s="292"/>
      <c r="AC167" s="293"/>
      <c r="AD167" s="650">
        <f ca="1">IFERROR(INDIRECT("Field_Renta_S" &amp; Field_Pos_3),0)</f>
        <v>76753.444290064654</v>
      </c>
      <c r="AE167" s="650"/>
      <c r="AF167" s="650"/>
      <c r="AG167" s="650"/>
      <c r="AH167" s="656"/>
      <c r="AI167" s="264"/>
      <c r="AJ167" s="237"/>
      <c r="AK167" s="238"/>
      <c r="AL167" s="233"/>
      <c r="AM167" s="233"/>
      <c r="AN167" s="233"/>
      <c r="AO167" s="233"/>
      <c r="AP167" s="233"/>
      <c r="AQ167" s="233"/>
      <c r="AR167" s="233"/>
      <c r="AS167" s="233"/>
      <c r="AT167" s="233"/>
      <c r="AU167" s="233"/>
      <c r="AV167" s="233"/>
      <c r="AW167" s="233"/>
    </row>
    <row r="168" spans="1:49" x14ac:dyDescent="0.2">
      <c r="A168" s="233"/>
      <c r="B168" s="238"/>
      <c r="C168" s="238"/>
      <c r="D168" s="257" t="s">
        <v>24</v>
      </c>
      <c r="E168" s="261"/>
      <c r="F168" s="257"/>
      <c r="G168" s="257"/>
      <c r="H168" s="257"/>
      <c r="I168" s="257"/>
      <c r="J168" s="257"/>
      <c r="K168" s="257"/>
      <c r="L168" s="291"/>
      <c r="M168" s="262"/>
      <c r="N168" s="650">
        <f ca="1">IFERROR(INDIRECT("Field_Seguro" &amp; Field_Pos_1),0)</f>
        <v>0</v>
      </c>
      <c r="O168" s="650"/>
      <c r="P168" s="650"/>
      <c r="Q168" s="650"/>
      <c r="R168" s="656"/>
      <c r="S168" s="262"/>
      <c r="T168" s="291"/>
      <c r="U168" s="262"/>
      <c r="V168" s="650">
        <f ca="1">IFERROR(INDIRECT("Field_Seguro" &amp; Field_Pos_2),0)</f>
        <v>0</v>
      </c>
      <c r="W168" s="650"/>
      <c r="X168" s="650"/>
      <c r="Y168" s="650"/>
      <c r="Z168" s="656"/>
      <c r="AA168" s="263"/>
      <c r="AB168" s="292"/>
      <c r="AC168" s="293"/>
      <c r="AD168" s="650">
        <f ca="1">IFERROR(INDIRECT("Field_Seguro" &amp; Field_Pos_3),0)</f>
        <v>0</v>
      </c>
      <c r="AE168" s="650"/>
      <c r="AF168" s="650"/>
      <c r="AG168" s="650"/>
      <c r="AH168" s="656"/>
      <c r="AI168" s="264"/>
      <c r="AJ168" s="237"/>
      <c r="AK168" s="238"/>
      <c r="AL168" s="233"/>
      <c r="AM168" s="233"/>
      <c r="AN168" s="233"/>
      <c r="AO168" s="233"/>
      <c r="AP168" s="233"/>
      <c r="AQ168" s="233"/>
      <c r="AR168" s="233"/>
      <c r="AS168" s="233"/>
      <c r="AT168" s="233"/>
      <c r="AU168" s="233"/>
      <c r="AV168" s="233"/>
      <c r="AW168" s="233"/>
    </row>
    <row r="169" spans="1:49" x14ac:dyDescent="0.2">
      <c r="A169" s="233"/>
      <c r="B169" s="238"/>
      <c r="C169" s="238"/>
      <c r="D169" s="257" t="s">
        <v>7</v>
      </c>
      <c r="E169" s="261"/>
      <c r="F169" s="257"/>
      <c r="G169" s="257"/>
      <c r="H169" s="257"/>
      <c r="I169" s="257"/>
      <c r="J169" s="257"/>
      <c r="K169" s="257"/>
      <c r="L169" s="309"/>
      <c r="M169" s="310"/>
      <c r="N169" s="661">
        <f ca="1">IFERROR(INDIRECT("Field_TasaNom_SiM_" &amp; Field_Pos_1),0)</f>
        <v>0.125</v>
      </c>
      <c r="O169" s="661"/>
      <c r="P169" s="661"/>
      <c r="Q169" s="661"/>
      <c r="R169" s="662"/>
      <c r="S169" s="296"/>
      <c r="T169" s="297"/>
      <c r="U169" s="298"/>
      <c r="V169" s="661">
        <f ca="1">IFERROR(INDIRECT("Field_TasaNom_SiM_" &amp; Field_Pos_2),0)</f>
        <v>0.1275</v>
      </c>
      <c r="W169" s="661"/>
      <c r="X169" s="661"/>
      <c r="Y169" s="661"/>
      <c r="Z169" s="662"/>
      <c r="AA169" s="299"/>
      <c r="AB169" s="300"/>
      <c r="AC169" s="301"/>
      <c r="AD169" s="661">
        <f ca="1">IFERROR(INDIRECT("Field_TasaNom_SiM_" &amp; Field_Pos_3),0)</f>
        <v>0.13</v>
      </c>
      <c r="AE169" s="661"/>
      <c r="AF169" s="661"/>
      <c r="AG169" s="661"/>
      <c r="AH169" s="662"/>
      <c r="AI169" s="264"/>
      <c r="AJ169" s="237"/>
      <c r="AK169" s="238"/>
      <c r="AL169" s="233"/>
      <c r="AM169" s="233"/>
      <c r="AN169" s="233"/>
      <c r="AO169" s="233"/>
      <c r="AP169" s="233"/>
      <c r="AQ169" s="233"/>
      <c r="AR169" s="233"/>
      <c r="AS169" s="233"/>
      <c r="AT169" s="233"/>
      <c r="AU169" s="233"/>
      <c r="AV169" s="233"/>
      <c r="AW169" s="233"/>
    </row>
    <row r="170" spans="1:49" x14ac:dyDescent="0.2">
      <c r="A170" s="233"/>
      <c r="B170" s="238"/>
      <c r="C170" s="238"/>
      <c r="D170" s="252"/>
      <c r="E170" s="257"/>
      <c r="F170" s="257"/>
      <c r="G170" s="257"/>
      <c r="H170" s="257"/>
      <c r="I170" s="257"/>
      <c r="J170" s="257"/>
      <c r="K170" s="257"/>
      <c r="L170" s="271"/>
      <c r="M170" s="271"/>
      <c r="N170" s="271"/>
      <c r="O170" s="271"/>
      <c r="P170" s="271"/>
      <c r="Q170" s="271"/>
      <c r="R170" s="271"/>
      <c r="S170" s="271"/>
      <c r="T170" s="271"/>
      <c r="U170" s="271"/>
      <c r="V170" s="271"/>
      <c r="W170" s="271"/>
      <c r="X170" s="271"/>
      <c r="Y170" s="271"/>
      <c r="Z170" s="271"/>
      <c r="AA170" s="263"/>
      <c r="AB170" s="272"/>
      <c r="AC170" s="272"/>
      <c r="AD170" s="272"/>
      <c r="AE170" s="272"/>
      <c r="AF170" s="272"/>
      <c r="AG170" s="272"/>
      <c r="AH170" s="272"/>
      <c r="AI170" s="264"/>
      <c r="AJ170" s="237"/>
      <c r="AK170" s="238"/>
      <c r="AL170" s="233"/>
      <c r="AM170" s="233"/>
      <c r="AN170" s="233"/>
      <c r="AO170" s="233"/>
      <c r="AP170" s="233"/>
      <c r="AQ170" s="233"/>
      <c r="AR170" s="233"/>
      <c r="AS170" s="233"/>
      <c r="AT170" s="233"/>
      <c r="AU170" s="233"/>
      <c r="AV170" s="233"/>
      <c r="AW170" s="233"/>
    </row>
    <row r="171" spans="1:49" x14ac:dyDescent="0.2">
      <c r="A171" s="233"/>
      <c r="B171" s="238"/>
      <c r="D171" s="250" t="s">
        <v>82</v>
      </c>
      <c r="E171" s="257"/>
      <c r="F171" s="257"/>
      <c r="G171" s="257"/>
      <c r="H171" s="257"/>
      <c r="I171" s="257"/>
      <c r="J171" s="257"/>
      <c r="K171" s="257"/>
      <c r="L171" s="663">
        <f ca="1">SUM(N172:R175)</f>
        <v>314537.74827586208</v>
      </c>
      <c r="M171" s="664"/>
      <c r="N171" s="664"/>
      <c r="O171" s="664"/>
      <c r="P171" s="664"/>
      <c r="Q171" s="665"/>
      <c r="R171" s="666"/>
      <c r="S171" s="273"/>
      <c r="T171" s="667">
        <f ca="1">SUM(V172:Z175)</f>
        <v>314537.74827586208</v>
      </c>
      <c r="U171" s="668"/>
      <c r="V171" s="669"/>
      <c r="W171" s="669"/>
      <c r="X171" s="669"/>
      <c r="Y171" s="670"/>
      <c r="Z171" s="671"/>
      <c r="AA171" s="263"/>
      <c r="AB171" s="663">
        <f ca="1">SUM(AD172:AH175)</f>
        <v>314537.74827586208</v>
      </c>
      <c r="AC171" s="664"/>
      <c r="AD171" s="664"/>
      <c r="AE171" s="664"/>
      <c r="AF171" s="664"/>
      <c r="AG171" s="665"/>
      <c r="AH171" s="666"/>
      <c r="AI171" s="264"/>
      <c r="AJ171" s="237"/>
      <c r="AK171" s="238"/>
      <c r="AL171" s="233"/>
      <c r="AM171" s="233"/>
      <c r="AN171" s="233"/>
      <c r="AO171" s="233"/>
      <c r="AP171" s="233"/>
      <c r="AQ171" s="233"/>
      <c r="AR171" s="233"/>
      <c r="AS171" s="233"/>
      <c r="AT171" s="233"/>
      <c r="AU171" s="233"/>
      <c r="AV171" s="233"/>
      <c r="AW171" s="233"/>
    </row>
    <row r="172" spans="1:49" x14ac:dyDescent="0.2">
      <c r="A172" s="233"/>
      <c r="B172" s="238"/>
      <c r="C172" s="238"/>
      <c r="D172" s="257" t="s">
        <v>23</v>
      </c>
      <c r="E172" s="261"/>
      <c r="F172" s="257"/>
      <c r="G172" s="257"/>
      <c r="H172" s="257"/>
      <c r="I172" s="257"/>
      <c r="J172" s="257"/>
      <c r="K172" s="257"/>
      <c r="L172" s="657">
        <f ca="1">IFERROR(INDIRECT("Field_ComisionAp_S" &amp; Field_Pos_1),0)</f>
        <v>1.4999999999999999E-2</v>
      </c>
      <c r="M172" s="658"/>
      <c r="N172" s="650">
        <f ca="1">(O152-N175+N168)*L172</f>
        <v>36995.679310344829</v>
      </c>
      <c r="O172" s="650"/>
      <c r="P172" s="650"/>
      <c r="Q172" s="650"/>
      <c r="R172" s="656"/>
      <c r="S172" s="262"/>
      <c r="T172" s="659">
        <f ca="1">IFERROR(INDIRECT("Field_ComisionAp_S" &amp; Field_Pos_2),0)</f>
        <v>1.4999999999999999E-2</v>
      </c>
      <c r="U172" s="660"/>
      <c r="V172" s="650">
        <f ca="1">(O152-V175+V168)*T172</f>
        <v>36995.679310344829</v>
      </c>
      <c r="W172" s="650"/>
      <c r="X172" s="650"/>
      <c r="Y172" s="650"/>
      <c r="Z172" s="656"/>
      <c r="AA172" s="263"/>
      <c r="AB172" s="657">
        <f ca="1">IFERROR(INDIRECT("Field_ComisionAp_S" &amp; Field_Pos_3),0)</f>
        <v>1.4999999999999999E-2</v>
      </c>
      <c r="AC172" s="658"/>
      <c r="AD172" s="650">
        <f ca="1">(O152-AD175+AD168)*AB172</f>
        <v>36995.679310344829</v>
      </c>
      <c r="AE172" s="650"/>
      <c r="AF172" s="650"/>
      <c r="AG172" s="650"/>
      <c r="AH172" s="656"/>
      <c r="AI172" s="264"/>
      <c r="AJ172" s="237"/>
      <c r="AK172" s="238"/>
      <c r="AL172" s="233"/>
      <c r="AM172" s="233"/>
      <c r="AN172" s="233"/>
      <c r="AO172" s="233"/>
      <c r="AP172" s="233"/>
      <c r="AQ172" s="233"/>
      <c r="AR172" s="233"/>
      <c r="AS172" s="233"/>
      <c r="AT172" s="233"/>
      <c r="AU172" s="233"/>
      <c r="AV172" s="233"/>
      <c r="AW172" s="233"/>
    </row>
    <row r="173" spans="1:49" x14ac:dyDescent="0.2">
      <c r="A173" s="233"/>
      <c r="B173" s="238"/>
      <c r="C173" s="238"/>
      <c r="D173" s="252" t="s">
        <v>6</v>
      </c>
      <c r="E173" s="257"/>
      <c r="F173" s="257"/>
      <c r="G173" s="257"/>
      <c r="H173" s="257"/>
      <c r="I173" s="257"/>
      <c r="J173" s="257"/>
      <c r="K173" s="257"/>
      <c r="L173" s="654">
        <f ca="1">IFERROR(INDIRECT("Field_RentasDep_S" &amp; Field_Pos_1),0)</f>
        <v>0</v>
      </c>
      <c r="M173" s="655"/>
      <c r="N173" s="650">
        <f ca="1">IF(Field_Num_PlazosSel&gt;2,N167*L173,-1)</f>
        <v>0</v>
      </c>
      <c r="O173" s="650"/>
      <c r="P173" s="650"/>
      <c r="Q173" s="650"/>
      <c r="R173" s="656"/>
      <c r="S173" s="262"/>
      <c r="T173" s="654">
        <f ca="1">IFERROR(INDIRECT("Field_RentasDep_S" &amp; Field_Pos_2),0)</f>
        <v>0</v>
      </c>
      <c r="U173" s="655"/>
      <c r="V173" s="650">
        <f ca="1">IF(Field_Num_PlazosSel&gt;=2,V167*T173,-1)</f>
        <v>0</v>
      </c>
      <c r="W173" s="650"/>
      <c r="X173" s="650"/>
      <c r="Y173" s="650"/>
      <c r="Z173" s="656"/>
      <c r="AA173" s="263"/>
      <c r="AB173" s="654">
        <f ca="1">IFERROR(INDIRECT("Field_RentasDep_S" &amp; Field_Pos_3),0)</f>
        <v>0</v>
      </c>
      <c r="AC173" s="655"/>
      <c r="AD173" s="650">
        <f ca="1">IF(Field_Num_PlazosSel&gt;0,AD167*AB173,-1)</f>
        <v>0</v>
      </c>
      <c r="AE173" s="650"/>
      <c r="AF173" s="650"/>
      <c r="AG173" s="650"/>
      <c r="AH173" s="656"/>
      <c r="AI173" s="264"/>
      <c r="AJ173" s="237"/>
      <c r="AK173" s="238"/>
      <c r="AL173" s="233"/>
      <c r="AM173" s="233"/>
      <c r="AN173" s="233"/>
      <c r="AO173" s="233"/>
      <c r="AP173" s="233"/>
      <c r="AQ173" s="233"/>
      <c r="AR173" s="233"/>
      <c r="AS173" s="233"/>
      <c r="AT173" s="233"/>
      <c r="AU173" s="233"/>
      <c r="AV173" s="233"/>
      <c r="AW173" s="233"/>
    </row>
    <row r="174" spans="1:49" x14ac:dyDescent="0.2">
      <c r="A174" s="233"/>
      <c r="B174" s="238"/>
      <c r="C174" s="238"/>
      <c r="D174" s="252" t="s">
        <v>22</v>
      </c>
      <c r="E174" s="257"/>
      <c r="F174" s="257"/>
      <c r="G174" s="257"/>
      <c r="H174" s="257"/>
      <c r="I174" s="257"/>
      <c r="J174" s="257"/>
      <c r="K174" s="257"/>
      <c r="L174" s="648" t="str">
        <f>IF(Field_Num_PlazosSel&gt;2,"",-1)</f>
        <v/>
      </c>
      <c r="M174" s="649"/>
      <c r="N174" s="650">
        <f>IF(Field_Num_PlazosSel&gt;2,Field_RatificacionSimple,-1)</f>
        <v>3500</v>
      </c>
      <c r="O174" s="650"/>
      <c r="P174" s="651"/>
      <c r="Q174" s="651"/>
      <c r="R174" s="652"/>
      <c r="S174" s="262"/>
      <c r="T174" s="648" t="str">
        <f>IF(Field_Num_PlazosSel&gt;=2,"",-1)</f>
        <v/>
      </c>
      <c r="U174" s="649"/>
      <c r="V174" s="650">
        <f>IF(Field_Num_PlazosSel&gt;=2,Field_RatificacionSimple,-1)</f>
        <v>3500</v>
      </c>
      <c r="W174" s="650"/>
      <c r="X174" s="651"/>
      <c r="Y174" s="651"/>
      <c r="Z174" s="652"/>
      <c r="AA174" s="263"/>
      <c r="AB174" s="648" t="str">
        <f>IF(Field_Num_PlazosSel&gt;0,"",-1)</f>
        <v/>
      </c>
      <c r="AC174" s="649"/>
      <c r="AD174" s="650">
        <f>IF(Field_Num_PlazosSel&gt;0,Field_RatificacionSimple,-1)</f>
        <v>3500</v>
      </c>
      <c r="AE174" s="650"/>
      <c r="AF174" s="651"/>
      <c r="AG174" s="651"/>
      <c r="AH174" s="652"/>
      <c r="AI174" s="264"/>
      <c r="AJ174" s="237"/>
      <c r="AK174" s="238"/>
      <c r="AL174" s="233"/>
      <c r="AM174" s="233"/>
      <c r="AN174" s="233"/>
      <c r="AO174" s="233"/>
      <c r="AP174" s="233"/>
      <c r="AQ174" s="233"/>
      <c r="AR174" s="233"/>
      <c r="AS174" s="233"/>
      <c r="AT174" s="233"/>
      <c r="AU174" s="233"/>
      <c r="AV174" s="233"/>
      <c r="AW174" s="233"/>
    </row>
    <row r="175" spans="1:49" ht="13.5" x14ac:dyDescent="0.25">
      <c r="A175" s="233"/>
      <c r="B175" s="238"/>
      <c r="C175" s="238"/>
      <c r="D175" s="252" t="s">
        <v>8</v>
      </c>
      <c r="E175" s="257"/>
      <c r="F175" s="257"/>
      <c r="G175" s="257"/>
      <c r="H175" s="257"/>
      <c r="I175" s="257"/>
      <c r="J175" s="257"/>
      <c r="K175" s="257"/>
      <c r="L175" s="641">
        <f ca="1">IFERROR(INDIRECT("Field_Enganche_Simple_" &amp; Field_Pos_1),0)</f>
        <v>0.1</v>
      </c>
      <c r="M175" s="642"/>
      <c r="N175" s="643">
        <f ca="1">O152*L175</f>
        <v>274042.06896551728</v>
      </c>
      <c r="O175" s="643"/>
      <c r="P175" s="644"/>
      <c r="Q175" s="644"/>
      <c r="R175" s="645"/>
      <c r="S175" s="262"/>
      <c r="T175" s="641">
        <f ca="1">IFERROR(INDIRECT("Field_Enganche_Simple_" &amp; Field_Pos_2),0)</f>
        <v>0.1</v>
      </c>
      <c r="U175" s="642"/>
      <c r="V175" s="643">
        <f ca="1">O152*T175</f>
        <v>274042.06896551728</v>
      </c>
      <c r="W175" s="643"/>
      <c r="X175" s="644"/>
      <c r="Y175" s="644"/>
      <c r="Z175" s="645"/>
      <c r="AA175" s="263"/>
      <c r="AB175" s="646">
        <f ca="1">IFERROR(INDIRECT("Field_Enganche_Simple_" &amp; Field_Pos_3),0)</f>
        <v>0.1</v>
      </c>
      <c r="AC175" s="647"/>
      <c r="AD175" s="643">
        <f ca="1">O152*AB175</f>
        <v>274042.06896551728</v>
      </c>
      <c r="AE175" s="643"/>
      <c r="AF175" s="644"/>
      <c r="AG175" s="644"/>
      <c r="AH175" s="645"/>
      <c r="AI175" s="274"/>
      <c r="AJ175" s="237"/>
      <c r="AK175" s="238"/>
      <c r="AL175" s="233"/>
      <c r="AM175" s="233"/>
      <c r="AN175" s="233"/>
      <c r="AO175" s="233"/>
      <c r="AP175" s="233"/>
      <c r="AQ175" s="233"/>
      <c r="AR175" s="233"/>
      <c r="AS175" s="233"/>
      <c r="AT175" s="233"/>
      <c r="AU175" s="233"/>
      <c r="AV175" s="233"/>
      <c r="AW175" s="233"/>
    </row>
    <row r="176" spans="1:49" x14ac:dyDescent="0.2">
      <c r="A176" s="233"/>
      <c r="B176" s="238"/>
      <c r="C176" s="238"/>
      <c r="D176" s="239"/>
      <c r="E176" s="284"/>
      <c r="F176" s="284"/>
      <c r="G176" s="284"/>
      <c r="H176" s="284"/>
      <c r="I176" s="284"/>
      <c r="J176" s="284"/>
      <c r="K176" s="284"/>
      <c r="L176" s="275"/>
      <c r="M176" s="275"/>
      <c r="N176" s="276"/>
      <c r="O176" s="276"/>
      <c r="P176" s="276"/>
      <c r="Q176" s="276"/>
      <c r="R176" s="276"/>
      <c r="S176" s="262"/>
      <c r="T176" s="275"/>
      <c r="U176" s="275"/>
      <c r="V176" s="276"/>
      <c r="W176" s="276"/>
      <c r="X176" s="276"/>
      <c r="Y176" s="276"/>
      <c r="Z176" s="276"/>
      <c r="AA176" s="263"/>
      <c r="AB176" s="277"/>
      <c r="AC176" s="277"/>
      <c r="AD176" s="278"/>
      <c r="AE176" s="278"/>
      <c r="AF176" s="278"/>
      <c r="AG176" s="278"/>
      <c r="AH176" s="278"/>
      <c r="AI176" s="274"/>
      <c r="AJ176" s="237"/>
      <c r="AK176" s="238"/>
      <c r="AL176" s="233"/>
      <c r="AM176" s="233"/>
      <c r="AN176" s="233"/>
      <c r="AO176" s="233"/>
      <c r="AP176" s="233"/>
      <c r="AQ176" s="233"/>
      <c r="AR176" s="233"/>
      <c r="AS176" s="233"/>
      <c r="AT176" s="233"/>
      <c r="AU176" s="233"/>
      <c r="AV176" s="233"/>
      <c r="AW176" s="233"/>
    </row>
    <row r="177" spans="1:49" x14ac:dyDescent="0.2">
      <c r="A177" s="233"/>
      <c r="B177" s="238"/>
      <c r="C177" s="238"/>
      <c r="D177" s="239"/>
      <c r="E177" s="239"/>
      <c r="F177" s="239"/>
      <c r="G177" s="239"/>
      <c r="H177" s="239"/>
      <c r="I177" s="239"/>
      <c r="J177" s="239"/>
      <c r="K177" s="239"/>
      <c r="L177" s="279"/>
      <c r="M177" s="279"/>
      <c r="N177" s="279"/>
      <c r="O177" s="279"/>
      <c r="P177" s="279"/>
      <c r="Q177" s="279"/>
      <c r="R177" s="279"/>
      <c r="S177" s="279"/>
      <c r="T177" s="279"/>
      <c r="U177" s="279"/>
      <c r="V177" s="279"/>
      <c r="W177" s="279"/>
      <c r="X177" s="279"/>
      <c r="Y177" s="279"/>
      <c r="Z177" s="279"/>
      <c r="AA177" s="239"/>
      <c r="AB177" s="280"/>
      <c r="AC177" s="280"/>
      <c r="AD177" s="280"/>
      <c r="AE177" s="280"/>
      <c r="AF177" s="280"/>
      <c r="AG177" s="280"/>
      <c r="AH177" s="280"/>
      <c r="AI177" s="239"/>
      <c r="AJ177" s="239"/>
      <c r="AK177" s="238"/>
      <c r="AL177" s="233"/>
      <c r="AM177" s="233"/>
      <c r="AN177" s="233"/>
      <c r="AO177" s="233"/>
      <c r="AP177" s="233"/>
      <c r="AQ177" s="233"/>
      <c r="AR177" s="233"/>
      <c r="AS177" s="233"/>
      <c r="AT177" s="233"/>
      <c r="AU177" s="233"/>
      <c r="AV177" s="233"/>
      <c r="AW177" s="233"/>
    </row>
    <row r="178" spans="1:49" x14ac:dyDescent="0.2">
      <c r="A178" s="233"/>
      <c r="B178" s="238"/>
      <c r="C178" s="245" t="s">
        <v>19</v>
      </c>
      <c r="D178" s="239"/>
      <c r="E178" s="239"/>
      <c r="F178" s="239"/>
      <c r="G178" s="239"/>
      <c r="H178" s="239"/>
      <c r="I178" s="239"/>
      <c r="J178" s="239"/>
      <c r="K178" s="239"/>
      <c r="L178" s="239"/>
      <c r="M178" s="239"/>
      <c r="N178" s="239"/>
      <c r="O178" s="239"/>
      <c r="P178" s="239"/>
      <c r="Q178" s="239"/>
      <c r="R178" s="239"/>
      <c r="S178" s="239"/>
      <c r="T178" s="279"/>
      <c r="U178" s="279"/>
      <c r="V178" s="281"/>
      <c r="W178" s="279"/>
      <c r="X178" s="279"/>
      <c r="Y178" s="279"/>
      <c r="Z178" s="279"/>
      <c r="AA178" s="239"/>
      <c r="AB178" s="239"/>
      <c r="AC178" s="239"/>
      <c r="AD178" s="239"/>
      <c r="AE178" s="239"/>
      <c r="AF178" s="239"/>
      <c r="AG178" s="239"/>
      <c r="AH178" s="239"/>
      <c r="AI178" s="239"/>
      <c r="AJ178" s="239"/>
      <c r="AK178" s="238"/>
      <c r="AL178" s="233"/>
      <c r="AM178" s="233"/>
      <c r="AN178" s="233"/>
      <c r="AO178" s="233"/>
      <c r="AP178" s="233"/>
      <c r="AQ178" s="233"/>
      <c r="AR178" s="233"/>
      <c r="AS178" s="233"/>
      <c r="AT178" s="233"/>
      <c r="AU178" s="233"/>
      <c r="AV178" s="233"/>
      <c r="AW178" s="233"/>
    </row>
    <row r="179" spans="1:49" ht="30.75" customHeight="1" x14ac:dyDescent="0.2">
      <c r="A179" s="233"/>
      <c r="B179" s="238"/>
      <c r="C179" s="625" t="s">
        <v>246</v>
      </c>
      <c r="D179" s="625"/>
      <c r="E179" s="625"/>
      <c r="F179" s="625"/>
      <c r="G179" s="625"/>
      <c r="H179" s="625"/>
      <c r="I179" s="625"/>
      <c r="J179" s="625"/>
      <c r="K179" s="625"/>
      <c r="L179" s="625"/>
      <c r="M179" s="625"/>
      <c r="N179" s="625"/>
      <c r="O179" s="625"/>
      <c r="P179" s="625"/>
      <c r="Q179" s="625"/>
      <c r="R179" s="625"/>
      <c r="S179" s="625"/>
      <c r="T179" s="625"/>
      <c r="U179" s="625"/>
      <c r="V179" s="625"/>
      <c r="W179" s="625"/>
      <c r="X179" s="625"/>
      <c r="Y179" s="625"/>
      <c r="Z179" s="625"/>
      <c r="AA179" s="625"/>
      <c r="AB179" s="625"/>
      <c r="AC179" s="625"/>
      <c r="AD179" s="625"/>
      <c r="AE179" s="625"/>
      <c r="AF179" s="625"/>
      <c r="AG179" s="625"/>
      <c r="AH179" s="625"/>
      <c r="AI179" s="311"/>
      <c r="AJ179" s="239"/>
      <c r="AK179" s="238"/>
      <c r="AL179" s="233"/>
      <c r="AM179" s="233"/>
      <c r="AN179" s="233"/>
      <c r="AO179" s="233"/>
      <c r="AP179" s="233"/>
      <c r="AQ179" s="233"/>
      <c r="AR179" s="233"/>
      <c r="AS179" s="233"/>
      <c r="AT179" s="233"/>
      <c r="AU179" s="233"/>
      <c r="AV179" s="233"/>
      <c r="AW179" s="233"/>
    </row>
    <row r="180" spans="1:49" x14ac:dyDescent="0.2">
      <c r="A180" s="233"/>
      <c r="B180" s="238"/>
      <c r="C180" s="610" t="s">
        <v>247</v>
      </c>
      <c r="D180" s="610"/>
      <c r="E180" s="610"/>
      <c r="F180" s="610"/>
      <c r="G180" s="610"/>
      <c r="H180" s="610"/>
      <c r="I180" s="610"/>
      <c r="J180" s="610"/>
      <c r="K180" s="610"/>
      <c r="L180" s="610"/>
      <c r="M180" s="610"/>
      <c r="N180" s="610"/>
      <c r="O180" s="610"/>
      <c r="P180" s="610"/>
      <c r="Q180" s="610"/>
      <c r="R180" s="610"/>
      <c r="S180" s="610"/>
      <c r="T180" s="610"/>
      <c r="U180" s="610"/>
      <c r="V180" s="610"/>
      <c r="W180" s="610"/>
      <c r="X180" s="610"/>
      <c r="Y180" s="610"/>
      <c r="Z180" s="610"/>
      <c r="AA180" s="610"/>
      <c r="AB180" s="610"/>
      <c r="AC180" s="610"/>
      <c r="AD180" s="610"/>
      <c r="AE180" s="610"/>
      <c r="AF180" s="610"/>
      <c r="AG180" s="610"/>
      <c r="AH180" s="610"/>
      <c r="AI180" s="311"/>
      <c r="AJ180" s="239"/>
      <c r="AK180" s="238"/>
      <c r="AL180" s="233"/>
      <c r="AM180" s="233"/>
      <c r="AN180" s="233"/>
      <c r="AO180" s="233"/>
      <c r="AP180" s="233"/>
      <c r="AQ180" s="233"/>
      <c r="AR180" s="233"/>
      <c r="AS180" s="233"/>
      <c r="AT180" s="233"/>
      <c r="AU180" s="233"/>
      <c r="AV180" s="233"/>
      <c r="AW180" s="233"/>
    </row>
    <row r="181" spans="1:49" x14ac:dyDescent="0.2">
      <c r="A181" s="233"/>
      <c r="B181" s="238"/>
      <c r="C181" s="610" t="s">
        <v>303</v>
      </c>
      <c r="D181" s="610"/>
      <c r="E181" s="610"/>
      <c r="F181" s="610"/>
      <c r="G181" s="610"/>
      <c r="H181" s="610"/>
      <c r="I181" s="610"/>
      <c r="J181" s="610"/>
      <c r="K181" s="610"/>
      <c r="L181" s="610"/>
      <c r="M181" s="610"/>
      <c r="N181" s="610"/>
      <c r="O181" s="610"/>
      <c r="P181" s="610"/>
      <c r="Q181" s="610"/>
      <c r="R181" s="610"/>
      <c r="S181" s="610"/>
      <c r="T181" s="610"/>
      <c r="U181" s="610"/>
      <c r="V181" s="610"/>
      <c r="W181" s="610"/>
      <c r="X181" s="610"/>
      <c r="Y181" s="610"/>
      <c r="Z181" s="610"/>
      <c r="AA181" s="610"/>
      <c r="AB181" s="610"/>
      <c r="AC181" s="610"/>
      <c r="AD181" s="610"/>
      <c r="AE181" s="610"/>
      <c r="AF181" s="610"/>
      <c r="AG181" s="610"/>
      <c r="AH181" s="610"/>
      <c r="AI181" s="311"/>
      <c r="AJ181" s="239"/>
      <c r="AK181" s="238"/>
      <c r="AL181" s="233"/>
      <c r="AM181" s="233"/>
      <c r="AN181" s="233"/>
      <c r="AO181" s="233"/>
      <c r="AP181" s="233"/>
      <c r="AQ181" s="233"/>
      <c r="AR181" s="233"/>
      <c r="AS181" s="233"/>
      <c r="AT181" s="233"/>
      <c r="AU181" s="233"/>
      <c r="AV181" s="233"/>
      <c r="AW181" s="233"/>
    </row>
    <row r="182" spans="1:49" x14ac:dyDescent="0.2">
      <c r="A182" s="233"/>
      <c r="B182" s="238"/>
      <c r="C182" s="610" t="s">
        <v>248</v>
      </c>
      <c r="D182" s="610"/>
      <c r="E182" s="610"/>
      <c r="F182" s="610"/>
      <c r="G182" s="610"/>
      <c r="H182" s="610"/>
      <c r="I182" s="610"/>
      <c r="J182" s="610"/>
      <c r="K182" s="610"/>
      <c r="L182" s="610"/>
      <c r="M182" s="610"/>
      <c r="N182" s="610"/>
      <c r="O182" s="610"/>
      <c r="P182" s="610"/>
      <c r="Q182" s="610"/>
      <c r="R182" s="610"/>
      <c r="S182" s="610"/>
      <c r="T182" s="610"/>
      <c r="U182" s="610"/>
      <c r="V182" s="610"/>
      <c r="W182" s="610"/>
      <c r="X182" s="610"/>
      <c r="Y182" s="610"/>
      <c r="Z182" s="610"/>
      <c r="AA182" s="610"/>
      <c r="AB182" s="610"/>
      <c r="AC182" s="610"/>
      <c r="AD182" s="610"/>
      <c r="AE182" s="610"/>
      <c r="AF182" s="610"/>
      <c r="AG182" s="610"/>
      <c r="AH182" s="610"/>
      <c r="AI182" s="311"/>
      <c r="AJ182" s="239"/>
      <c r="AK182" s="238"/>
      <c r="AL182" s="233"/>
      <c r="AM182" s="233"/>
      <c r="AN182" s="233"/>
      <c r="AO182" s="233"/>
      <c r="AP182" s="233"/>
      <c r="AQ182" s="233"/>
      <c r="AR182" s="233"/>
      <c r="AS182" s="233"/>
      <c r="AT182" s="233"/>
      <c r="AU182" s="233"/>
      <c r="AV182" s="233"/>
      <c r="AW182" s="233"/>
    </row>
    <row r="183" spans="1:49" ht="41.45" customHeight="1" x14ac:dyDescent="0.2">
      <c r="A183" s="233"/>
      <c r="B183" s="238"/>
      <c r="C183" s="625" t="s">
        <v>249</v>
      </c>
      <c r="D183" s="625"/>
      <c r="E183" s="625"/>
      <c r="F183" s="625"/>
      <c r="G183" s="625"/>
      <c r="H183" s="625"/>
      <c r="I183" s="625"/>
      <c r="J183" s="625"/>
      <c r="K183" s="625"/>
      <c r="L183" s="625"/>
      <c r="M183" s="625"/>
      <c r="N183" s="625"/>
      <c r="O183" s="625"/>
      <c r="P183" s="625"/>
      <c r="Q183" s="625"/>
      <c r="R183" s="625"/>
      <c r="S183" s="625"/>
      <c r="T183" s="625"/>
      <c r="U183" s="625"/>
      <c r="V183" s="625"/>
      <c r="W183" s="625"/>
      <c r="X183" s="625"/>
      <c r="Y183" s="625"/>
      <c r="Z183" s="625"/>
      <c r="AA183" s="625"/>
      <c r="AB183" s="625"/>
      <c r="AC183" s="625"/>
      <c r="AD183" s="625"/>
      <c r="AE183" s="625"/>
      <c r="AF183" s="625"/>
      <c r="AG183" s="625"/>
      <c r="AH183" s="625"/>
      <c r="AI183" s="311"/>
      <c r="AJ183" s="239"/>
      <c r="AK183" s="238"/>
      <c r="AL183" s="233"/>
      <c r="AM183" s="233"/>
      <c r="AN183" s="233"/>
      <c r="AO183" s="233"/>
      <c r="AP183" s="233"/>
      <c r="AQ183" s="233"/>
      <c r="AR183" s="233"/>
      <c r="AS183" s="233"/>
      <c r="AT183" s="233"/>
      <c r="AU183" s="233"/>
      <c r="AV183" s="233"/>
      <c r="AW183" s="233"/>
    </row>
    <row r="184" spans="1:49" ht="66" customHeight="1" x14ac:dyDescent="0.2">
      <c r="A184" s="233"/>
      <c r="B184" s="238"/>
      <c r="C184" s="625" t="s">
        <v>250</v>
      </c>
      <c r="D184" s="625"/>
      <c r="E184" s="625"/>
      <c r="F184" s="625"/>
      <c r="G184" s="625"/>
      <c r="H184" s="625"/>
      <c r="I184" s="625"/>
      <c r="J184" s="625"/>
      <c r="K184" s="625"/>
      <c r="L184" s="625"/>
      <c r="M184" s="625"/>
      <c r="N184" s="625"/>
      <c r="O184" s="625"/>
      <c r="P184" s="625"/>
      <c r="Q184" s="625"/>
      <c r="R184" s="625"/>
      <c r="S184" s="625"/>
      <c r="T184" s="625"/>
      <c r="U184" s="625"/>
      <c r="V184" s="625"/>
      <c r="W184" s="625"/>
      <c r="X184" s="625"/>
      <c r="Y184" s="625"/>
      <c r="Z184" s="625"/>
      <c r="AA184" s="625"/>
      <c r="AB184" s="625"/>
      <c r="AC184" s="625"/>
      <c r="AD184" s="625"/>
      <c r="AE184" s="625"/>
      <c r="AF184" s="625"/>
      <c r="AG184" s="625"/>
      <c r="AH184" s="625"/>
      <c r="AI184" s="311"/>
      <c r="AJ184" s="239"/>
      <c r="AK184" s="238"/>
      <c r="AL184" s="233"/>
      <c r="AM184" s="233"/>
      <c r="AN184" s="233"/>
      <c r="AO184" s="233"/>
      <c r="AP184" s="233"/>
      <c r="AQ184" s="233"/>
      <c r="AR184" s="233"/>
      <c r="AS184" s="233"/>
      <c r="AT184" s="233"/>
      <c r="AU184" s="233"/>
      <c r="AV184" s="233"/>
      <c r="AW184" s="233"/>
    </row>
    <row r="185" spans="1:49" x14ac:dyDescent="0.2">
      <c r="A185" s="233"/>
      <c r="B185" s="238"/>
      <c r="C185" s="238"/>
      <c r="D185" s="238"/>
      <c r="E185" s="238"/>
      <c r="F185" s="238"/>
      <c r="G185" s="238"/>
      <c r="H185" s="238"/>
      <c r="I185" s="238"/>
      <c r="J185" s="238"/>
      <c r="K185" s="238"/>
      <c r="L185" s="238"/>
      <c r="M185" s="238"/>
      <c r="N185" s="238"/>
      <c r="O185" s="238"/>
      <c r="P185" s="238"/>
      <c r="Q185" s="238"/>
      <c r="R185" s="238"/>
      <c r="S185" s="238"/>
      <c r="T185" s="238"/>
      <c r="U185" s="238"/>
      <c r="V185" s="238"/>
      <c r="W185" s="238"/>
      <c r="X185" s="238"/>
      <c r="Y185" s="238"/>
      <c r="Z185" s="238"/>
      <c r="AA185" s="238"/>
      <c r="AB185" s="238"/>
      <c r="AC185" s="238"/>
      <c r="AD185" s="238"/>
      <c r="AE185" s="238"/>
      <c r="AF185" s="238"/>
      <c r="AG185" s="238"/>
      <c r="AH185" s="238"/>
      <c r="AI185" s="311"/>
      <c r="AJ185" s="239"/>
      <c r="AK185" s="238"/>
      <c r="AL185" s="233"/>
      <c r="AM185" s="233"/>
      <c r="AN185" s="233"/>
      <c r="AO185" s="233"/>
      <c r="AP185" s="233"/>
      <c r="AQ185" s="233"/>
      <c r="AR185" s="233"/>
      <c r="AS185" s="233"/>
      <c r="AT185" s="233"/>
      <c r="AU185" s="233"/>
      <c r="AV185" s="233"/>
      <c r="AW185" s="233"/>
    </row>
    <row r="186" spans="1:49" x14ac:dyDescent="0.2">
      <c r="A186" s="233"/>
      <c r="B186" s="238"/>
      <c r="C186" s="626" t="s">
        <v>251</v>
      </c>
      <c r="D186" s="626"/>
      <c r="E186" s="626"/>
      <c r="F186" s="626"/>
      <c r="G186" s="626"/>
      <c r="H186" s="626"/>
      <c r="I186" s="626"/>
      <c r="J186" s="626"/>
      <c r="K186" s="626"/>
      <c r="L186" s="626"/>
      <c r="M186" s="626"/>
      <c r="N186" s="626"/>
      <c r="O186" s="626"/>
      <c r="P186" s="626"/>
      <c r="Q186" s="626"/>
      <c r="R186" s="626"/>
      <c r="S186" s="626"/>
      <c r="T186" s="626"/>
      <c r="U186" s="626"/>
      <c r="V186" s="626"/>
      <c r="W186" s="626"/>
      <c r="X186" s="626"/>
      <c r="Y186" s="626"/>
      <c r="Z186" s="626"/>
      <c r="AA186" s="626"/>
      <c r="AB186" s="626"/>
      <c r="AC186" s="626"/>
      <c r="AD186" s="626"/>
      <c r="AE186" s="626"/>
      <c r="AF186" s="626"/>
      <c r="AG186" s="626"/>
      <c r="AH186" s="238"/>
      <c r="AI186" s="311"/>
      <c r="AJ186" s="239"/>
      <c r="AK186" s="238"/>
      <c r="AL186" s="233"/>
      <c r="AM186" s="233"/>
      <c r="AN186" s="233"/>
      <c r="AO186" s="233"/>
      <c r="AP186" s="233"/>
      <c r="AQ186" s="233"/>
      <c r="AR186" s="233"/>
      <c r="AS186" s="233"/>
      <c r="AT186" s="233"/>
      <c r="AU186" s="233"/>
      <c r="AV186" s="233"/>
      <c r="AW186" s="233"/>
    </row>
    <row r="187" spans="1:49" x14ac:dyDescent="0.2">
      <c r="A187" s="233"/>
      <c r="B187" s="238"/>
      <c r="C187" s="653" t="s">
        <v>252</v>
      </c>
      <c r="D187" s="653"/>
      <c r="E187" s="653"/>
      <c r="F187" s="653"/>
      <c r="G187" s="653"/>
      <c r="H187" s="653"/>
      <c r="I187" s="653"/>
      <c r="J187" s="653"/>
      <c r="K187" s="653"/>
      <c r="L187" s="653"/>
      <c r="M187" s="653"/>
      <c r="N187" s="653"/>
      <c r="O187" s="653"/>
      <c r="P187" s="653"/>
      <c r="Q187" s="653"/>
      <c r="R187" s="653"/>
      <c r="S187" s="653"/>
      <c r="T187" s="653"/>
      <c r="U187" s="653"/>
      <c r="V187" s="653"/>
      <c r="W187" s="653"/>
      <c r="X187" s="653"/>
      <c r="Y187" s="653"/>
      <c r="Z187" s="653"/>
      <c r="AA187" s="653"/>
      <c r="AB187" s="653"/>
      <c r="AC187" s="653"/>
      <c r="AD187" s="653"/>
      <c r="AE187" s="653"/>
      <c r="AF187" s="653"/>
      <c r="AG187" s="653"/>
      <c r="AH187" s="238"/>
      <c r="AI187" s="311"/>
      <c r="AJ187" s="239"/>
      <c r="AK187" s="238"/>
      <c r="AL187" s="233"/>
      <c r="AM187" s="233"/>
      <c r="AN187" s="233"/>
      <c r="AO187" s="233"/>
      <c r="AP187" s="233"/>
      <c r="AQ187" s="233"/>
      <c r="AR187" s="233"/>
      <c r="AS187" s="233"/>
      <c r="AT187" s="233"/>
      <c r="AU187" s="233"/>
      <c r="AV187" s="233"/>
      <c r="AW187" s="233"/>
    </row>
    <row r="188" spans="1:49" x14ac:dyDescent="0.2">
      <c r="A188" s="233"/>
      <c r="B188" s="238"/>
      <c r="C188" s="312"/>
      <c r="D188" s="311"/>
      <c r="E188" s="311"/>
      <c r="F188" s="311"/>
      <c r="G188" s="311"/>
      <c r="H188" s="311"/>
      <c r="I188" s="311"/>
      <c r="J188" s="311"/>
      <c r="K188" s="311"/>
      <c r="L188" s="311"/>
      <c r="M188" s="311"/>
      <c r="N188" s="311"/>
      <c r="O188" s="311"/>
      <c r="P188" s="311"/>
      <c r="Q188" s="311"/>
      <c r="R188" s="311"/>
      <c r="S188" s="311"/>
      <c r="T188" s="311"/>
      <c r="U188" s="311"/>
      <c r="V188" s="311"/>
      <c r="W188" s="311"/>
      <c r="X188" s="311"/>
      <c r="Y188" s="311"/>
      <c r="Z188" s="311"/>
      <c r="AA188" s="311"/>
      <c r="AB188" s="311"/>
      <c r="AC188" s="311"/>
      <c r="AD188" s="311"/>
      <c r="AE188" s="311"/>
      <c r="AF188" s="311"/>
      <c r="AG188" s="311"/>
      <c r="AH188" s="311"/>
      <c r="AI188" s="311"/>
      <c r="AJ188" s="239"/>
      <c r="AK188" s="238"/>
      <c r="AL188" s="233"/>
      <c r="AM188" s="233"/>
      <c r="AN188" s="233"/>
      <c r="AO188" s="233"/>
      <c r="AP188" s="233"/>
      <c r="AQ188" s="233"/>
      <c r="AR188" s="233"/>
      <c r="AS188" s="233"/>
      <c r="AT188" s="233"/>
      <c r="AU188" s="233"/>
      <c r="AV188" s="233"/>
      <c r="AW188" s="233"/>
    </row>
    <row r="189" spans="1:49" ht="14.25" x14ac:dyDescent="0.2">
      <c r="A189" s="233"/>
      <c r="B189" s="282"/>
      <c r="C189" s="312"/>
      <c r="D189" s="313"/>
      <c r="E189" s="313"/>
      <c r="F189" s="313"/>
      <c r="G189" s="313"/>
      <c r="H189" s="313"/>
      <c r="I189" s="313"/>
      <c r="J189" s="313"/>
      <c r="K189" s="313"/>
      <c r="L189" s="313"/>
      <c r="M189" s="313"/>
      <c r="N189" s="313"/>
      <c r="O189" s="313"/>
      <c r="P189" s="313"/>
      <c r="Q189" s="313"/>
      <c r="R189" s="313"/>
      <c r="S189" s="313"/>
      <c r="T189" s="313"/>
      <c r="U189" s="313"/>
      <c r="V189" s="313"/>
      <c r="W189" s="313"/>
      <c r="X189" s="313"/>
      <c r="Y189" s="313"/>
      <c r="Z189" s="313"/>
      <c r="AA189" s="313"/>
      <c r="AB189" s="313"/>
      <c r="AC189" s="313"/>
      <c r="AD189" s="313"/>
      <c r="AE189" s="313"/>
      <c r="AF189" s="313"/>
      <c r="AG189" s="313"/>
      <c r="AH189" s="313"/>
      <c r="AI189" s="313"/>
      <c r="AJ189" s="283"/>
      <c r="AK189" s="282"/>
      <c r="AL189" s="233"/>
      <c r="AM189" s="233"/>
      <c r="AN189" s="233"/>
      <c r="AO189" s="233"/>
      <c r="AP189" s="233"/>
      <c r="AQ189" s="233"/>
      <c r="AR189" s="233"/>
      <c r="AS189" s="233"/>
      <c r="AT189" s="233"/>
      <c r="AU189" s="233"/>
      <c r="AV189" s="233"/>
      <c r="AW189" s="233"/>
    </row>
    <row r="190" spans="1:49" ht="14.25" x14ac:dyDescent="0.2">
      <c r="A190" s="233"/>
      <c r="B190" s="282"/>
      <c r="C190" s="312"/>
      <c r="D190" s="313"/>
      <c r="E190" s="313"/>
      <c r="F190" s="313"/>
      <c r="G190" s="313"/>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283"/>
      <c r="AK190" s="282"/>
      <c r="AL190" s="233"/>
      <c r="AM190" s="233"/>
      <c r="AN190" s="233"/>
      <c r="AO190" s="233"/>
      <c r="AP190" s="233"/>
      <c r="AQ190" s="233"/>
      <c r="AR190" s="233"/>
      <c r="AS190" s="233"/>
      <c r="AT190" s="233"/>
      <c r="AU190" s="233"/>
      <c r="AV190" s="233"/>
      <c r="AW190" s="233"/>
    </row>
    <row r="191" spans="1:49" x14ac:dyDescent="0.2">
      <c r="A191" s="233"/>
      <c r="B191" s="236"/>
      <c r="C191" s="627" t="s">
        <v>20</v>
      </c>
      <c r="D191" s="627"/>
      <c r="E191" s="627"/>
      <c r="F191" s="627"/>
      <c r="G191" s="627"/>
      <c r="H191" s="627"/>
      <c r="I191" s="627"/>
      <c r="J191" s="627"/>
      <c r="K191" s="627"/>
      <c r="L191" s="627"/>
      <c r="M191" s="627"/>
      <c r="N191" s="627"/>
      <c r="O191" s="627"/>
      <c r="P191" s="627"/>
      <c r="Q191" s="627"/>
      <c r="R191" s="627"/>
      <c r="S191" s="627"/>
      <c r="T191" s="627"/>
      <c r="U191" s="627"/>
      <c r="V191" s="627"/>
      <c r="W191" s="627"/>
      <c r="X191" s="627"/>
      <c r="Y191" s="627"/>
      <c r="Z191" s="627"/>
      <c r="AA191" s="627"/>
      <c r="AB191" s="627"/>
      <c r="AC191" s="627"/>
      <c r="AD191" s="627"/>
      <c r="AE191" s="627"/>
      <c r="AF191" s="627"/>
      <c r="AG191" s="627"/>
      <c r="AH191" s="627"/>
      <c r="AI191" s="627"/>
      <c r="AJ191" s="627"/>
      <c r="AK191" s="236"/>
      <c r="AL191" s="233"/>
      <c r="AM191" s="233"/>
      <c r="AN191" s="233"/>
      <c r="AO191" s="233"/>
      <c r="AP191" s="233"/>
      <c r="AQ191" s="233"/>
      <c r="AR191" s="233"/>
      <c r="AS191" s="233"/>
      <c r="AT191" s="233"/>
      <c r="AU191" s="233"/>
      <c r="AV191" s="233"/>
      <c r="AW191" s="233"/>
    </row>
    <row r="192" spans="1:49" x14ac:dyDescent="0.2">
      <c r="A192" s="233"/>
      <c r="B192" s="236"/>
      <c r="C192" s="628" t="str">
        <f>TRIM(Y8)</f>
        <v>Nombre del Ejecutivo</v>
      </c>
      <c r="D192" s="628"/>
      <c r="E192" s="628"/>
      <c r="F192" s="628"/>
      <c r="G192" s="628"/>
      <c r="H192" s="628"/>
      <c r="I192" s="628"/>
      <c r="J192" s="628"/>
      <c r="K192" s="628"/>
      <c r="L192" s="628"/>
      <c r="M192" s="628"/>
      <c r="N192" s="628"/>
      <c r="O192" s="628"/>
      <c r="P192" s="628"/>
      <c r="Q192" s="628"/>
      <c r="R192" s="628"/>
      <c r="S192" s="628"/>
      <c r="T192" s="628"/>
      <c r="U192" s="628"/>
      <c r="V192" s="628"/>
      <c r="W192" s="628"/>
      <c r="X192" s="628"/>
      <c r="Y192" s="628"/>
      <c r="Z192" s="628"/>
      <c r="AA192" s="628"/>
      <c r="AB192" s="628"/>
      <c r="AC192" s="628"/>
      <c r="AD192" s="628"/>
      <c r="AE192" s="628"/>
      <c r="AF192" s="628"/>
      <c r="AG192" s="628"/>
      <c r="AH192" s="628"/>
      <c r="AI192" s="628"/>
      <c r="AJ192" s="628"/>
      <c r="AK192" s="236"/>
      <c r="AL192" s="233"/>
      <c r="AM192" s="233"/>
      <c r="AN192" s="233"/>
      <c r="AO192" s="233"/>
      <c r="AP192" s="233"/>
      <c r="AQ192" s="233"/>
      <c r="AR192" s="233"/>
      <c r="AS192" s="233"/>
      <c r="AT192" s="233"/>
      <c r="AU192" s="233"/>
      <c r="AV192" s="233"/>
      <c r="AW192" s="233"/>
    </row>
    <row r="193" spans="1:49" x14ac:dyDescent="0.2">
      <c r="A193" s="233"/>
      <c r="B193" s="233"/>
      <c r="C193" s="233"/>
      <c r="D193" s="233"/>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row>
  </sheetData>
  <sheetProtection password="8048" sheet="1" objects="1" scenarios="1"/>
  <mergeCells count="279">
    <mergeCell ref="T161:Y161"/>
    <mergeCell ref="Z161:AA161"/>
    <mergeCell ref="AF161:AH161"/>
    <mergeCell ref="AF94:AH94"/>
    <mergeCell ref="AF95:AH95"/>
    <mergeCell ref="G156:O156"/>
    <mergeCell ref="P156:S156"/>
    <mergeCell ref="T156:Y156"/>
    <mergeCell ref="AF156:AH156"/>
    <mergeCell ref="G157:O157"/>
    <mergeCell ref="P157:S157"/>
    <mergeCell ref="T157:Y157"/>
    <mergeCell ref="AF157:AH157"/>
    <mergeCell ref="L107:M107"/>
    <mergeCell ref="N107:R107"/>
    <mergeCell ref="T107:U107"/>
    <mergeCell ref="V107:Z107"/>
    <mergeCell ref="AB107:AC107"/>
    <mergeCell ref="AD107:AH107"/>
    <mergeCell ref="L106:M106"/>
    <mergeCell ref="N106:R106"/>
    <mergeCell ref="T106:U106"/>
    <mergeCell ref="V106:Z106"/>
    <mergeCell ref="AB106:AC106"/>
    <mergeCell ref="L37:R37"/>
    <mergeCell ref="T37:Z37"/>
    <mergeCell ref="AB37:AH37"/>
    <mergeCell ref="L38:R38"/>
    <mergeCell ref="T38:Z38"/>
    <mergeCell ref="AB38:AH38"/>
    <mergeCell ref="Q24:V24"/>
    <mergeCell ref="Q25:AG25"/>
    <mergeCell ref="G28:O28"/>
    <mergeCell ref="G29:O29"/>
    <mergeCell ref="G30:O30"/>
    <mergeCell ref="G31:O31"/>
    <mergeCell ref="G32:O32"/>
    <mergeCell ref="T29:Y29"/>
    <mergeCell ref="T28:Y28"/>
    <mergeCell ref="AF27:AH27"/>
    <mergeCell ref="B1:AK1"/>
    <mergeCell ref="Y8:AH8"/>
    <mergeCell ref="Y9:AH9"/>
    <mergeCell ref="Y10:AH10"/>
    <mergeCell ref="AA13:AJ13"/>
    <mergeCell ref="Q20:AG20"/>
    <mergeCell ref="Q21:Y21"/>
    <mergeCell ref="Q22:AG22"/>
    <mergeCell ref="Q23:V23"/>
    <mergeCell ref="L43:M43"/>
    <mergeCell ref="N43:R43"/>
    <mergeCell ref="T43:U43"/>
    <mergeCell ref="V43:Z43"/>
    <mergeCell ref="AB43:AC43"/>
    <mergeCell ref="AD43:AH43"/>
    <mergeCell ref="L36:N36"/>
    <mergeCell ref="O36:R36"/>
    <mergeCell ref="T36:V36"/>
    <mergeCell ref="W36:Z36"/>
    <mergeCell ref="AB36:AD36"/>
    <mergeCell ref="L42:M42"/>
    <mergeCell ref="N42:R42"/>
    <mergeCell ref="T42:U42"/>
    <mergeCell ref="V42:Z42"/>
    <mergeCell ref="AB42:AC42"/>
    <mergeCell ref="AD42:AH42"/>
    <mergeCell ref="L41:R41"/>
    <mergeCell ref="T41:Z41"/>
    <mergeCell ref="AB41:AH41"/>
    <mergeCell ref="L39:R39"/>
    <mergeCell ref="V39:Z39"/>
    <mergeCell ref="AD39:AH39"/>
    <mergeCell ref="AE36:AH36"/>
    <mergeCell ref="L45:M45"/>
    <mergeCell ref="N45:R45"/>
    <mergeCell ref="T45:U45"/>
    <mergeCell ref="V45:Z45"/>
    <mergeCell ref="AB45:AC45"/>
    <mergeCell ref="AD45:AH45"/>
    <mergeCell ref="L44:M44"/>
    <mergeCell ref="N44:R44"/>
    <mergeCell ref="T44:U44"/>
    <mergeCell ref="V44:Z44"/>
    <mergeCell ref="AB44:AC44"/>
    <mergeCell ref="AD44:AH44"/>
    <mergeCell ref="C54:AH54"/>
    <mergeCell ref="C55:AH55"/>
    <mergeCell ref="C56:AH56"/>
    <mergeCell ref="C57:AH57"/>
    <mergeCell ref="C59:AG59"/>
    <mergeCell ref="C60:AG60"/>
    <mergeCell ref="D47:K48"/>
    <mergeCell ref="L48:R48"/>
    <mergeCell ref="T48:Z48"/>
    <mergeCell ref="AB48:AH48"/>
    <mergeCell ref="C52:AH52"/>
    <mergeCell ref="C53:AH53"/>
    <mergeCell ref="AF92:AH92"/>
    <mergeCell ref="G90:O90"/>
    <mergeCell ref="P90:S90"/>
    <mergeCell ref="T90:Y90"/>
    <mergeCell ref="G91:O91"/>
    <mergeCell ref="P91:S91"/>
    <mergeCell ref="T91:Y91"/>
    <mergeCell ref="G92:O92"/>
    <mergeCell ref="P92:S92"/>
    <mergeCell ref="T92:Y92"/>
    <mergeCell ref="W98:Z98"/>
    <mergeCell ref="AB98:AD98"/>
    <mergeCell ref="AE98:AH98"/>
    <mergeCell ref="T93:Y93"/>
    <mergeCell ref="G94:O94"/>
    <mergeCell ref="P94:S94"/>
    <mergeCell ref="T94:Y94"/>
    <mergeCell ref="T95:Y95"/>
    <mergeCell ref="Z95:AA95"/>
    <mergeCell ref="AF93:AH93"/>
    <mergeCell ref="L105:M105"/>
    <mergeCell ref="N105:R105"/>
    <mergeCell ref="T105:U105"/>
    <mergeCell ref="V105:Z105"/>
    <mergeCell ref="AB105:AC105"/>
    <mergeCell ref="AD105:AH105"/>
    <mergeCell ref="N102:R102"/>
    <mergeCell ref="V102:Z102"/>
    <mergeCell ref="AD102:AH102"/>
    <mergeCell ref="L104:R104"/>
    <mergeCell ref="T104:Z104"/>
    <mergeCell ref="AB104:AH104"/>
    <mergeCell ref="G93:O93"/>
    <mergeCell ref="P93:S93"/>
    <mergeCell ref="L100:R100"/>
    <mergeCell ref="T100:Z100"/>
    <mergeCell ref="AB100:AH100"/>
    <mergeCell ref="N101:R101"/>
    <mergeCell ref="V101:Z101"/>
    <mergeCell ref="AD101:AH101"/>
    <mergeCell ref="L98:N98"/>
    <mergeCell ref="O98:R98"/>
    <mergeCell ref="T98:V98"/>
    <mergeCell ref="L165:N165"/>
    <mergeCell ref="O165:R165"/>
    <mergeCell ref="T165:V165"/>
    <mergeCell ref="W165:Z165"/>
    <mergeCell ref="AB165:AD165"/>
    <mergeCell ref="AE165:AH165"/>
    <mergeCell ref="AA142:AJ142"/>
    <mergeCell ref="Q149:AG149"/>
    <mergeCell ref="Q151:U151"/>
    <mergeCell ref="Q150:U150"/>
    <mergeCell ref="O152:T152"/>
    <mergeCell ref="AF155:AH155"/>
    <mergeCell ref="Q153:AG153"/>
    <mergeCell ref="G158:O158"/>
    <mergeCell ref="P158:S158"/>
    <mergeCell ref="T158:Y158"/>
    <mergeCell ref="AF158:AH158"/>
    <mergeCell ref="G159:O159"/>
    <mergeCell ref="P159:S159"/>
    <mergeCell ref="T159:Y159"/>
    <mergeCell ref="AF159:AH159"/>
    <mergeCell ref="G160:O160"/>
    <mergeCell ref="T162:Y162"/>
    <mergeCell ref="T163:Y163"/>
    <mergeCell ref="N169:R169"/>
    <mergeCell ref="V169:Z169"/>
    <mergeCell ref="AD169:AH169"/>
    <mergeCell ref="L171:R171"/>
    <mergeCell ref="T171:Z171"/>
    <mergeCell ref="AB171:AH171"/>
    <mergeCell ref="N167:R167"/>
    <mergeCell ref="V167:Z167"/>
    <mergeCell ref="AD167:AH167"/>
    <mergeCell ref="N168:R168"/>
    <mergeCell ref="V168:Z168"/>
    <mergeCell ref="AD168:AH168"/>
    <mergeCell ref="L173:M173"/>
    <mergeCell ref="N173:R173"/>
    <mergeCell ref="T173:U173"/>
    <mergeCell ref="V173:Z173"/>
    <mergeCell ref="AB173:AC173"/>
    <mergeCell ref="AD173:AH173"/>
    <mergeCell ref="L172:M172"/>
    <mergeCell ref="N172:R172"/>
    <mergeCell ref="T172:U172"/>
    <mergeCell ref="V172:Z172"/>
    <mergeCell ref="AB172:AC172"/>
    <mergeCell ref="AD172:AH172"/>
    <mergeCell ref="C191:AJ191"/>
    <mergeCell ref="C192:AJ192"/>
    <mergeCell ref="C182:AH182"/>
    <mergeCell ref="C183:AH183"/>
    <mergeCell ref="C184:AH184"/>
    <mergeCell ref="C186:AG186"/>
    <mergeCell ref="C187:AG187"/>
    <mergeCell ref="C179:AH179"/>
    <mergeCell ref="C180:AH180"/>
    <mergeCell ref="C181:AH181"/>
    <mergeCell ref="L175:M175"/>
    <mergeCell ref="N175:R175"/>
    <mergeCell ref="T175:U175"/>
    <mergeCell ref="V175:Z175"/>
    <mergeCell ref="AB175:AC175"/>
    <mergeCell ref="AD175:AH175"/>
    <mergeCell ref="L174:M174"/>
    <mergeCell ref="N174:R174"/>
    <mergeCell ref="T174:U174"/>
    <mergeCell ref="V174:Z174"/>
    <mergeCell ref="AB174:AC174"/>
    <mergeCell ref="AD174:AH174"/>
    <mergeCell ref="D28:F28"/>
    <mergeCell ref="P28:S28"/>
    <mergeCell ref="D29:F29"/>
    <mergeCell ref="P29:S29"/>
    <mergeCell ref="T30:Y30"/>
    <mergeCell ref="D31:F31"/>
    <mergeCell ref="P31:S31"/>
    <mergeCell ref="T31:Y31"/>
    <mergeCell ref="Z33:AA33"/>
    <mergeCell ref="AF89:AH89"/>
    <mergeCell ref="D90:F90"/>
    <mergeCell ref="D32:F32"/>
    <mergeCell ref="P32:S32"/>
    <mergeCell ref="T32:Y32"/>
    <mergeCell ref="T33:Y33"/>
    <mergeCell ref="D30:F30"/>
    <mergeCell ref="P30:S30"/>
    <mergeCell ref="D91:F91"/>
    <mergeCell ref="Q87:AG87"/>
    <mergeCell ref="AF90:AH90"/>
    <mergeCell ref="AF91:AH91"/>
    <mergeCell ref="AA76:AJ76"/>
    <mergeCell ref="Q82:AG82"/>
    <mergeCell ref="Q83:Y83"/>
    <mergeCell ref="Q84:AG84"/>
    <mergeCell ref="Q85:V85"/>
    <mergeCell ref="Q86:V86"/>
    <mergeCell ref="C62:AJ62"/>
    <mergeCell ref="C63:AJ63"/>
    <mergeCell ref="B65:AK65"/>
    <mergeCell ref="Y71:AH71"/>
    <mergeCell ref="Y72:AH72"/>
    <mergeCell ref="Y73:AH73"/>
    <mergeCell ref="D92:F92"/>
    <mergeCell ref="D93:F93"/>
    <mergeCell ref="D94:F94"/>
    <mergeCell ref="C120:AH120"/>
    <mergeCell ref="C121:AH121"/>
    <mergeCell ref="C123:AG123"/>
    <mergeCell ref="C127:AJ127"/>
    <mergeCell ref="C128:AJ128"/>
    <mergeCell ref="B129:AK129"/>
    <mergeCell ref="AD106:AH106"/>
    <mergeCell ref="C124:AG124"/>
    <mergeCell ref="C126:AJ126"/>
    <mergeCell ref="L111:R111"/>
    <mergeCell ref="T111:Z111"/>
    <mergeCell ref="AB111:AH111"/>
    <mergeCell ref="C116:AH116"/>
    <mergeCell ref="C117:AH117"/>
    <mergeCell ref="C118:AH118"/>
    <mergeCell ref="L108:M108"/>
    <mergeCell ref="N108:R108"/>
    <mergeCell ref="T108:U108"/>
    <mergeCell ref="V108:Z108"/>
    <mergeCell ref="AB108:AC108"/>
    <mergeCell ref="AD108:AH108"/>
    <mergeCell ref="Y137:AH137"/>
    <mergeCell ref="Y138:AH138"/>
    <mergeCell ref="Y139:AH139"/>
    <mergeCell ref="C119:AH119"/>
    <mergeCell ref="D158:F158"/>
    <mergeCell ref="D156:F156"/>
    <mergeCell ref="D157:F157"/>
    <mergeCell ref="D159:F159"/>
    <mergeCell ref="D160:F160"/>
    <mergeCell ref="P160:S160"/>
    <mergeCell ref="T160:Y160"/>
    <mergeCell ref="AF160:AH160"/>
  </mergeCells>
  <conditionalFormatting sqref="L48:R48">
    <cfRule type="cellIs" dxfId="2" priority="9" stopIfTrue="1" operator="lessThan">
      <formula>0</formula>
    </cfRule>
  </conditionalFormatting>
  <conditionalFormatting sqref="AD39:AH39">
    <cfRule type="cellIs" dxfId="1" priority="8" stopIfTrue="1" operator="lessThan">
      <formula>0</formula>
    </cfRule>
  </conditionalFormatting>
  <conditionalFormatting sqref="AB48:AH48">
    <cfRule type="cellIs" dxfId="0" priority="7" stopIfTrue="1" operator="lessThan">
      <formula>0</formula>
    </cfRule>
  </conditionalFormatting>
  <pageMargins left="0.47244094488188981" right="0.35433070866141736" top="0.19685039370078741" bottom="0.39370078740157483" header="0.51181102362204722" footer="0.51181102362204722"/>
  <pageSetup scale="93"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75"/>
  <sheetViews>
    <sheetView topLeftCell="A176" zoomScale="90" zoomScaleNormal="90" workbookViewId="0">
      <selection sqref="A1:XFD175"/>
    </sheetView>
  </sheetViews>
  <sheetFormatPr baseColWidth="10" defaultColWidth="9.140625" defaultRowHeight="12.75" x14ac:dyDescent="0.2"/>
  <cols>
    <col min="1" max="1" width="2.5703125" style="135" customWidth="1"/>
    <col min="2" max="2" width="21.5703125" style="138" customWidth="1"/>
    <col min="3" max="3" width="16.42578125" style="172" customWidth="1"/>
    <col min="4" max="4" width="18.5703125" style="172" customWidth="1"/>
    <col min="5" max="6" width="18.5703125" style="146" customWidth="1"/>
    <col min="7" max="7" width="16.5703125" style="146" customWidth="1"/>
    <col min="8" max="8" width="6.42578125" style="146" customWidth="1"/>
    <col min="9" max="9" width="2.5703125" style="151" customWidth="1"/>
    <col min="10" max="10" width="23.5703125" style="138" customWidth="1"/>
    <col min="11" max="15" width="15.5703125" style="135" customWidth="1"/>
    <col min="16" max="16" width="9.140625" style="135"/>
    <col min="17" max="17" width="2.5703125" style="135" customWidth="1"/>
    <col min="18" max="18" width="19.5703125" style="138" bestFit="1" customWidth="1"/>
    <col min="19" max="23" width="15.5703125" style="135" customWidth="1"/>
    <col min="24" max="16384" width="9.140625" style="135"/>
  </cols>
  <sheetData>
    <row r="1" spans="1:24" hidden="1" x14ac:dyDescent="0.2">
      <c r="A1" s="140"/>
      <c r="B1" s="142"/>
      <c r="C1" s="169"/>
      <c r="D1" s="169"/>
      <c r="E1" s="145"/>
      <c r="F1" s="145"/>
      <c r="G1" s="145"/>
      <c r="H1" s="199"/>
      <c r="I1" s="137"/>
      <c r="J1" s="142"/>
      <c r="K1" s="140"/>
      <c r="L1" s="140"/>
      <c r="M1" s="140"/>
      <c r="N1" s="140"/>
      <c r="O1" s="140"/>
      <c r="P1" s="140"/>
      <c r="Q1" s="140"/>
      <c r="R1" s="142"/>
      <c r="S1" s="140"/>
      <c r="T1" s="140"/>
      <c r="U1" s="140"/>
      <c r="V1" s="140"/>
      <c r="W1" s="140"/>
      <c r="X1" s="140"/>
    </row>
    <row r="2" spans="1:24" hidden="1" x14ac:dyDescent="0.2">
      <c r="A2" s="140"/>
      <c r="B2" s="142"/>
      <c r="C2" s="169"/>
      <c r="D2" s="169"/>
      <c r="E2" s="145"/>
      <c r="F2" s="145"/>
      <c r="G2" s="145"/>
      <c r="H2" s="199"/>
      <c r="I2" s="137"/>
      <c r="J2" s="142"/>
      <c r="K2" s="140"/>
      <c r="L2" s="140"/>
      <c r="M2" s="140"/>
      <c r="N2" s="140"/>
      <c r="O2" s="140"/>
      <c r="P2" s="140"/>
      <c r="Q2" s="140"/>
      <c r="R2" s="142"/>
      <c r="S2" s="140"/>
      <c r="T2" s="140"/>
      <c r="U2" s="140"/>
      <c r="V2" s="140"/>
      <c r="W2" s="140"/>
      <c r="X2" s="140"/>
    </row>
    <row r="3" spans="1:24" ht="13.5" hidden="1" thickBot="1" x14ac:dyDescent="0.25">
      <c r="A3" s="140"/>
      <c r="B3" s="142"/>
      <c r="C3" s="169"/>
      <c r="D3" s="169"/>
      <c r="E3" s="145"/>
      <c r="F3" s="145"/>
      <c r="G3" s="145"/>
      <c r="H3" s="199"/>
      <c r="I3" s="137"/>
      <c r="J3" s="142"/>
      <c r="K3" s="140"/>
      <c r="L3" s="140"/>
      <c r="M3" s="140"/>
      <c r="N3" s="140"/>
      <c r="O3" s="140"/>
      <c r="P3" s="140"/>
      <c r="Q3" s="140"/>
      <c r="R3" s="142"/>
      <c r="S3" s="140"/>
      <c r="T3" s="140"/>
      <c r="U3" s="140"/>
      <c r="V3" s="140"/>
      <c r="W3" s="140"/>
      <c r="X3" s="140"/>
    </row>
    <row r="4" spans="1:24" s="139" customFormat="1" ht="24.75" hidden="1" thickBot="1" x14ac:dyDescent="0.25">
      <c r="A4" s="141"/>
      <c r="B4" s="142"/>
      <c r="C4" s="728" t="str">
        <f>enterprise!F52</f>
        <v>Arrendamiento Puro</v>
      </c>
      <c r="D4" s="729"/>
      <c r="E4" s="729"/>
      <c r="F4" s="729"/>
      <c r="G4" s="730"/>
      <c r="H4" s="193"/>
      <c r="I4" s="150"/>
      <c r="J4" s="141"/>
      <c r="K4" s="728" t="str">
        <f>enterprise!F79</f>
        <v>Arrendamiento Financiero</v>
      </c>
      <c r="L4" s="729"/>
      <c r="M4" s="729"/>
      <c r="N4" s="729"/>
      <c r="O4" s="730"/>
      <c r="P4" s="141"/>
      <c r="Q4" s="141"/>
      <c r="R4" s="141"/>
      <c r="S4" s="728" t="str">
        <f>enterprise!F100</f>
        <v>Crédito Simple</v>
      </c>
      <c r="T4" s="729"/>
      <c r="U4" s="729"/>
      <c r="V4" s="729"/>
      <c r="W4" s="730"/>
      <c r="X4" s="141"/>
    </row>
    <row r="5" spans="1:24" ht="16.5" hidden="1" customHeight="1" x14ac:dyDescent="0.2">
      <c r="A5" s="169"/>
      <c r="B5" s="152"/>
      <c r="C5" s="202">
        <f>enterprise!$K$45</f>
        <v>24</v>
      </c>
      <c r="D5" s="203">
        <f>enterprise!$O$45</f>
        <v>36</v>
      </c>
      <c r="E5" s="203">
        <f>enterprise!$S$45</f>
        <v>48</v>
      </c>
      <c r="F5" s="203">
        <f>enterprise!$W$45</f>
        <v>60</v>
      </c>
      <c r="G5" s="204">
        <f>enterprise!$AA$45</f>
        <v>72</v>
      </c>
      <c r="H5" s="194"/>
      <c r="I5" s="169"/>
      <c r="J5" s="152"/>
      <c r="K5" s="202">
        <f>enterprise!$K$45</f>
        <v>24</v>
      </c>
      <c r="L5" s="203">
        <f>enterprise!$O$45</f>
        <v>36</v>
      </c>
      <c r="M5" s="203">
        <f>enterprise!$S$45</f>
        <v>48</v>
      </c>
      <c r="N5" s="203">
        <f>enterprise!$W$45</f>
        <v>60</v>
      </c>
      <c r="O5" s="204">
        <f>enterprise!$AA$45</f>
        <v>72</v>
      </c>
      <c r="P5" s="140"/>
      <c r="Q5" s="169"/>
      <c r="R5" s="152"/>
      <c r="S5" s="202">
        <f>enterprise!$K$45</f>
        <v>24</v>
      </c>
      <c r="T5" s="203">
        <f>enterprise!$O$45</f>
        <v>36</v>
      </c>
      <c r="U5" s="203">
        <f>enterprise!$S$45</f>
        <v>48</v>
      </c>
      <c r="V5" s="203">
        <f>enterprise!$W$45</f>
        <v>60</v>
      </c>
      <c r="W5" s="204">
        <f>enterprise!$AA$45</f>
        <v>72</v>
      </c>
      <c r="X5" s="140"/>
    </row>
    <row r="6" spans="1:24" ht="14.25" hidden="1" customHeight="1" x14ac:dyDescent="0.2">
      <c r="A6" s="140"/>
      <c r="B6" s="155" t="s">
        <v>54</v>
      </c>
      <c r="C6" s="201">
        <f>Field_EquipoMontoTotal</f>
        <v>2740420.6896551726</v>
      </c>
      <c r="D6" s="201">
        <f>Field_EquipoMontoTotal</f>
        <v>2740420.6896551726</v>
      </c>
      <c r="E6" s="201">
        <f>Field_EquipoMontoTotal</f>
        <v>2740420.6896551726</v>
      </c>
      <c r="F6" s="201">
        <f>Field_EquipoMontoTotal</f>
        <v>2740420.6896551726</v>
      </c>
      <c r="G6" s="201">
        <f>Field_EquipoMontoTotal</f>
        <v>2740420.6896551726</v>
      </c>
      <c r="H6" s="184"/>
      <c r="I6" s="140"/>
      <c r="J6" s="155" t="s">
        <v>54</v>
      </c>
      <c r="K6" s="201">
        <f>Field_EquipoMontoTotal</f>
        <v>2740420.6896551726</v>
      </c>
      <c r="L6" s="201">
        <f>Field_EquipoMontoTotal</f>
        <v>2740420.6896551726</v>
      </c>
      <c r="M6" s="201">
        <f>Field_EquipoMontoTotal</f>
        <v>2740420.6896551726</v>
      </c>
      <c r="N6" s="201">
        <f>Field_EquipoMontoTotal</f>
        <v>2740420.6896551726</v>
      </c>
      <c r="O6" s="201">
        <f>Field_EquipoMontoTotal</f>
        <v>2740420.6896551726</v>
      </c>
      <c r="P6" s="140"/>
      <c r="Q6" s="140"/>
      <c r="R6" s="155" t="s">
        <v>54</v>
      </c>
      <c r="S6" s="201">
        <f>Field_EquipoMontoTotal</f>
        <v>2740420.6896551726</v>
      </c>
      <c r="T6" s="201">
        <f>Field_EquipoMontoTotal</f>
        <v>2740420.6896551726</v>
      </c>
      <c r="U6" s="201">
        <f>Field_EquipoMontoTotal</f>
        <v>2740420.6896551726</v>
      </c>
      <c r="V6" s="201">
        <f>Field_EquipoMontoTotal</f>
        <v>2740420.6896551726</v>
      </c>
      <c r="W6" s="201">
        <f>Field_EquipoMontoTotal</f>
        <v>2740420.6896551726</v>
      </c>
      <c r="X6" s="140"/>
    </row>
    <row r="7" spans="1:24" ht="14.25" hidden="1" customHeight="1" x14ac:dyDescent="0.2">
      <c r="A7" s="169"/>
      <c r="B7" s="160" t="s">
        <v>0</v>
      </c>
      <c r="C7" s="165">
        <f>Field_Seguro1</f>
        <v>0</v>
      </c>
      <c r="D7" s="166">
        <v>0</v>
      </c>
      <c r="E7" s="166">
        <f>Field_Seguro3</f>
        <v>0</v>
      </c>
      <c r="F7" s="166">
        <f>Field_Seguro4</f>
        <v>0</v>
      </c>
      <c r="G7" s="205">
        <f>Field_Seguro5</f>
        <v>0</v>
      </c>
      <c r="H7" s="185"/>
      <c r="I7" s="169"/>
      <c r="J7" s="160" t="s">
        <v>0</v>
      </c>
      <c r="K7" s="165">
        <f>Field_Seguro1</f>
        <v>0</v>
      </c>
      <c r="L7" s="166">
        <f>Field_Seguro2</f>
        <v>0</v>
      </c>
      <c r="M7" s="166">
        <f>Field_Seguro3</f>
        <v>0</v>
      </c>
      <c r="N7" s="166">
        <f>Field_Seguro4</f>
        <v>0</v>
      </c>
      <c r="O7" s="205">
        <f>Field_Seguro5</f>
        <v>0</v>
      </c>
      <c r="P7" s="140"/>
      <c r="Q7" s="169"/>
      <c r="R7" s="160" t="s">
        <v>0</v>
      </c>
      <c r="S7" s="165">
        <f>Field_Seguro1</f>
        <v>0</v>
      </c>
      <c r="T7" s="166">
        <f>Field_Seguro2</f>
        <v>0</v>
      </c>
      <c r="U7" s="166">
        <f>Field_Seguro3</f>
        <v>0</v>
      </c>
      <c r="V7" s="166">
        <f>Field_Seguro4</f>
        <v>0</v>
      </c>
      <c r="W7" s="205">
        <f>Field_Seguro5</f>
        <v>0</v>
      </c>
      <c r="X7" s="140"/>
    </row>
    <row r="8" spans="1:24" ht="14.25" hidden="1" customHeight="1" x14ac:dyDescent="0.2">
      <c r="A8" s="140"/>
      <c r="B8" s="155" t="s">
        <v>39</v>
      </c>
      <c r="C8" s="167">
        <f>Field_Enganche_Porc_Puro_1</f>
        <v>0</v>
      </c>
      <c r="D8" s="156">
        <f>Field_Enganche_Porc_Puro_2</f>
        <v>0</v>
      </c>
      <c r="E8" s="156">
        <f>Field_Enganche_Porc_Puro_3</f>
        <v>0</v>
      </c>
      <c r="F8" s="156">
        <f>Field_Enganche_Porc_Puro_4</f>
        <v>0</v>
      </c>
      <c r="G8" s="206">
        <f>Field_Enganche_Porc_Puro_5</f>
        <v>0</v>
      </c>
      <c r="H8" s="164"/>
      <c r="I8" s="140"/>
      <c r="J8" s="155" t="s">
        <v>39</v>
      </c>
      <c r="K8" s="167">
        <f>Field_Enganche_Porc_Fin_1</f>
        <v>0.1</v>
      </c>
      <c r="L8" s="156">
        <f>Field_Enganche_Porc_Fin_2</f>
        <v>0.1</v>
      </c>
      <c r="M8" s="156">
        <f>Field_Enganche_Porc_Fin_3</f>
        <v>0.1</v>
      </c>
      <c r="N8" s="156">
        <f>Field_Enganche_Porc_Fin_4</f>
        <v>0.1</v>
      </c>
      <c r="O8" s="206">
        <f>Field_Enganche_Porc_Fin_5</f>
        <v>0.1</v>
      </c>
      <c r="P8" s="140"/>
      <c r="Q8" s="140"/>
      <c r="R8" s="155" t="s">
        <v>39</v>
      </c>
      <c r="S8" s="167">
        <f>Field_Enganche_Simple_1</f>
        <v>0.1</v>
      </c>
      <c r="T8" s="156">
        <f>Field_Enganche_Simple_2</f>
        <v>0.1</v>
      </c>
      <c r="U8" s="156">
        <f>Field_Enganche_Simple_3</f>
        <v>0.1</v>
      </c>
      <c r="V8" s="156">
        <f>Field_Enganche_Simple_4</f>
        <v>0.1</v>
      </c>
      <c r="W8" s="206">
        <f>Field_Enganche_Simple_5</f>
        <v>0.1</v>
      </c>
      <c r="X8" s="140"/>
    </row>
    <row r="9" spans="1:24" ht="14.25" hidden="1" customHeight="1" thickBot="1" x14ac:dyDescent="0.25">
      <c r="A9" s="140"/>
      <c r="B9" s="155" t="s">
        <v>214</v>
      </c>
      <c r="C9" s="168">
        <f>Field_Enganche_Monto_Puro_1</f>
        <v>0</v>
      </c>
      <c r="D9" s="159">
        <f>Field_Enganche_Monto_Puro_2</f>
        <v>0</v>
      </c>
      <c r="E9" s="159">
        <f>Field_Enganche_Monto_Puro_3</f>
        <v>0</v>
      </c>
      <c r="F9" s="159">
        <f>Field_Enganche_Monto_Puro_4</f>
        <v>0</v>
      </c>
      <c r="G9" s="207">
        <f>Field_Enganche_Monto_Puro_5</f>
        <v>0</v>
      </c>
      <c r="H9" s="186"/>
      <c r="I9" s="140"/>
      <c r="J9" s="155" t="s">
        <v>8</v>
      </c>
      <c r="K9" s="168">
        <f>Field_Enganche_Monto_F1</f>
        <v>274042.06896551728</v>
      </c>
      <c r="L9" s="159">
        <f>Field_Enganche_Monto_F2</f>
        <v>274042.06896551728</v>
      </c>
      <c r="M9" s="159">
        <f>Field_Enganche_Monto_F3</f>
        <v>274042.06896551728</v>
      </c>
      <c r="N9" s="159">
        <f>Field_Enganche_Monto_F4</f>
        <v>274042.06896551728</v>
      </c>
      <c r="O9" s="207">
        <f>Field_Enganche_Monto_F5</f>
        <v>274042.06896551728</v>
      </c>
      <c r="P9" s="140"/>
      <c r="Q9" s="140"/>
      <c r="R9" s="155" t="s">
        <v>8</v>
      </c>
      <c r="S9" s="168">
        <f>Field_Enganche_Monto_S1</f>
        <v>317888.80000000005</v>
      </c>
      <c r="T9" s="159">
        <f>Field_Enganche_Monto_S2</f>
        <v>317888.80000000005</v>
      </c>
      <c r="U9" s="159">
        <f>Field_Enganche_Monto_S3</f>
        <v>317888.80000000005</v>
      </c>
      <c r="V9" s="159">
        <f>Field_Enganche_Monto_S4</f>
        <v>317888.80000000005</v>
      </c>
      <c r="W9" s="207">
        <f>Field_Enganche_Monto_S5</f>
        <v>317888.80000000005</v>
      </c>
      <c r="X9" s="140"/>
    </row>
    <row r="10" spans="1:24" ht="18.75" hidden="1" customHeight="1" thickBot="1" x14ac:dyDescent="0.3">
      <c r="A10" s="179"/>
      <c r="B10" s="178" t="s">
        <v>233</v>
      </c>
      <c r="C10" s="175">
        <f>Field_MontoFinanciar_P1</f>
        <v>2740420.6896551726</v>
      </c>
      <c r="D10" s="176">
        <f>Field_MontoFinanciar_P2</f>
        <v>2740420.6896551726</v>
      </c>
      <c r="E10" s="176">
        <f>Field_MontoFinanciar_P3</f>
        <v>2740420.6896551726</v>
      </c>
      <c r="F10" s="176">
        <f>Field_MontoFinanciar_P4</f>
        <v>2740420.6896551726</v>
      </c>
      <c r="G10" s="177">
        <f>Field_MontoFinanciar_P5</f>
        <v>2740420.6896551726</v>
      </c>
      <c r="H10" s="195"/>
      <c r="I10" s="179"/>
      <c r="J10" s="178" t="s">
        <v>233</v>
      </c>
      <c r="K10" s="175">
        <f>Field_MontoFinanciar_F1</f>
        <v>2466378.6206896552</v>
      </c>
      <c r="L10" s="176">
        <f>Field_MontoFinanciar_F2</f>
        <v>2466378.6206896552</v>
      </c>
      <c r="M10" s="176">
        <f>Field_MontoFinanciar_F3</f>
        <v>2466378.6206896552</v>
      </c>
      <c r="N10" s="176">
        <f>Field_MontoFinanciar_F4</f>
        <v>2466378.6206896552</v>
      </c>
      <c r="O10" s="177">
        <f>Field_MontoFinanciar_F5</f>
        <v>2466378.6206896552</v>
      </c>
      <c r="P10" s="140"/>
      <c r="Q10" s="179"/>
      <c r="R10" s="178" t="s">
        <v>233</v>
      </c>
      <c r="S10" s="175">
        <f>Field_MontoFinanciar_S1</f>
        <v>2860999.2</v>
      </c>
      <c r="T10" s="176">
        <f>Field_MontoFinanciar_S2</f>
        <v>2860999.2</v>
      </c>
      <c r="U10" s="176">
        <f>Field_MontoFinanciar_S3</f>
        <v>2860999.2</v>
      </c>
      <c r="V10" s="176">
        <f>Field_MontoFinanciar_S4</f>
        <v>2860999.2</v>
      </c>
      <c r="W10" s="177">
        <f>Field_MontoFinanciar_S5</f>
        <v>2860999.2</v>
      </c>
      <c r="X10" s="140"/>
    </row>
    <row r="11" spans="1:24" hidden="1" x14ac:dyDescent="0.2">
      <c r="A11" s="137"/>
      <c r="B11" s="147"/>
      <c r="C11" s="170"/>
      <c r="D11" s="170"/>
      <c r="E11" s="170"/>
      <c r="F11" s="170"/>
      <c r="G11" s="170"/>
      <c r="H11" s="170"/>
      <c r="I11" s="137"/>
      <c r="J11" s="147"/>
      <c r="K11" s="153"/>
      <c r="L11" s="153"/>
      <c r="M11" s="153"/>
      <c r="N11" s="153"/>
      <c r="O11" s="153"/>
      <c r="P11" s="137"/>
      <c r="Q11" s="137"/>
      <c r="R11" s="147"/>
      <c r="S11" s="153"/>
      <c r="T11" s="153"/>
      <c r="U11" s="153"/>
      <c r="V11" s="153"/>
      <c r="W11" s="153"/>
      <c r="X11" s="137"/>
    </row>
    <row r="12" spans="1:24" hidden="1" x14ac:dyDescent="0.2">
      <c r="A12" s="137"/>
      <c r="B12" s="155" t="s">
        <v>4</v>
      </c>
      <c r="C12" s="156">
        <f>Field_ComisionAp_P1</f>
        <v>1.4999999999999999E-2</v>
      </c>
      <c r="D12" s="156">
        <f>Field_ComisionAp_P2</f>
        <v>1.4999999999999999E-2</v>
      </c>
      <c r="E12" s="156">
        <f>Field_ComisionAp_P3</f>
        <v>1.4999999999999999E-2</v>
      </c>
      <c r="F12" s="197">
        <f>Field_ComisionAp_P4</f>
        <v>1.4999999999999999E-2</v>
      </c>
      <c r="G12" s="209">
        <f>Field_ComisionAp_P5</f>
        <v>1.4999999999999999E-2</v>
      </c>
      <c r="H12" s="164"/>
      <c r="I12" s="137"/>
      <c r="J12" s="155" t="s">
        <v>4</v>
      </c>
      <c r="K12" s="156">
        <f>Field_ComisionAp_F1</f>
        <v>1.4999999999999999E-2</v>
      </c>
      <c r="L12" s="156">
        <f>Field_ComisionAp_F2</f>
        <v>1.4999999999999999E-2</v>
      </c>
      <c r="M12" s="156">
        <f>Field_ComisionAp_F3</f>
        <v>1.4999999999999999E-2</v>
      </c>
      <c r="N12" s="197">
        <f>Field_ComisionAp_F4</f>
        <v>1.4999999999999999E-2</v>
      </c>
      <c r="O12" s="209">
        <f>Field_ComisionAp_F5</f>
        <v>1.4999999999999999E-2</v>
      </c>
      <c r="P12" s="140"/>
      <c r="Q12" s="140"/>
      <c r="R12" s="155" t="s">
        <v>4</v>
      </c>
      <c r="S12" s="156">
        <f>enterprise!K108</f>
        <v>1.4999999999999999E-2</v>
      </c>
      <c r="T12" s="156">
        <f>enterprise!O108</f>
        <v>1.4999999999999999E-2</v>
      </c>
      <c r="U12" s="156">
        <f>enterprise!S108</f>
        <v>1.4999999999999999E-2</v>
      </c>
      <c r="V12" s="197">
        <f>enterprise!W108</f>
        <v>1.4999999999999999E-2</v>
      </c>
      <c r="W12" s="209">
        <f>enterprise!AA108</f>
        <v>1.4999999999999999E-2</v>
      </c>
      <c r="X12" s="137"/>
    </row>
    <row r="13" spans="1:24" ht="15" hidden="1" x14ac:dyDescent="0.25">
      <c r="A13" s="137"/>
      <c r="B13" s="155" t="s">
        <v>3</v>
      </c>
      <c r="C13" s="173">
        <f>+C12*C10</f>
        <v>41106.310344827587</v>
      </c>
      <c r="D13" s="173">
        <f>+D12*D10</f>
        <v>41106.310344827587</v>
      </c>
      <c r="E13" s="173">
        <f>+E12*E10</f>
        <v>41106.310344827587</v>
      </c>
      <c r="F13" s="173">
        <f>+F12*F10</f>
        <v>41106.310344827587</v>
      </c>
      <c r="G13" s="208">
        <f>+G12*G10</f>
        <v>41106.310344827587</v>
      </c>
      <c r="H13" s="200"/>
      <c r="I13" s="137"/>
      <c r="J13" s="155" t="s">
        <v>3</v>
      </c>
      <c r="K13" s="173">
        <f>+K12*K10</f>
        <v>36995.679310344829</v>
      </c>
      <c r="L13" s="173">
        <f>+L12*L10</f>
        <v>36995.679310344829</v>
      </c>
      <c r="M13" s="173">
        <f>+M12*M10</f>
        <v>36995.679310344829</v>
      </c>
      <c r="N13" s="173">
        <f>+N12*N10</f>
        <v>36995.679310344829</v>
      </c>
      <c r="O13" s="208">
        <f>+O12*O10</f>
        <v>36995.679310344829</v>
      </c>
      <c r="P13" s="140"/>
      <c r="Q13" s="140"/>
      <c r="R13" s="155" t="s">
        <v>3</v>
      </c>
      <c r="S13" s="173">
        <f>+S12*S10</f>
        <v>42914.988000000005</v>
      </c>
      <c r="T13" s="173">
        <f>+T12*T10</f>
        <v>42914.988000000005</v>
      </c>
      <c r="U13" s="173">
        <f>+U12*U10</f>
        <v>42914.988000000005</v>
      </c>
      <c r="V13" s="173">
        <f>+V12*V10</f>
        <v>42914.988000000005</v>
      </c>
      <c r="W13" s="208">
        <f>+W12*W10</f>
        <v>42914.988000000005</v>
      </c>
      <c r="X13" s="137"/>
    </row>
    <row r="14" spans="1:24" hidden="1" x14ac:dyDescent="0.2">
      <c r="A14" s="137"/>
      <c r="B14" s="155" t="s">
        <v>276</v>
      </c>
      <c r="C14" s="315">
        <f>C15*C10</f>
        <v>41106.310344827587</v>
      </c>
      <c r="D14" s="315">
        <f>D15*D10</f>
        <v>41106.310344827587</v>
      </c>
      <c r="E14" s="173">
        <f>E15*E10</f>
        <v>41106.310344827587</v>
      </c>
      <c r="F14" s="173">
        <f>F15*F10</f>
        <v>41106.310344827587</v>
      </c>
      <c r="G14" s="173">
        <f>G15*G10</f>
        <v>41106.310344827587</v>
      </c>
      <c r="H14" s="200"/>
      <c r="I14" s="137"/>
      <c r="J14" s="155" t="s">
        <v>276</v>
      </c>
      <c r="K14" s="315">
        <f>K15*K10</f>
        <v>36995.679310344829</v>
      </c>
      <c r="L14" s="315">
        <f>L15*L10</f>
        <v>36995.679310344829</v>
      </c>
      <c r="M14" s="173">
        <f>M15*M10</f>
        <v>36995.679310344829</v>
      </c>
      <c r="N14" s="173">
        <f>N15*N10</f>
        <v>36995.679310344829</v>
      </c>
      <c r="O14" s="173">
        <f>O15*O10</f>
        <v>36995.679310344829</v>
      </c>
      <c r="P14" s="140"/>
      <c r="Q14" s="140"/>
      <c r="R14" s="155" t="s">
        <v>276</v>
      </c>
      <c r="S14" s="315">
        <f>S15*S10</f>
        <v>42914.988000000005</v>
      </c>
      <c r="T14" s="315">
        <f>T15*T10</f>
        <v>42914.988000000005</v>
      </c>
      <c r="U14" s="173">
        <f>U15*U10</f>
        <v>42914.988000000005</v>
      </c>
      <c r="V14" s="173">
        <f>V15*V10</f>
        <v>42914.988000000005</v>
      </c>
      <c r="W14" s="173">
        <f>W15*W10</f>
        <v>42914.988000000005</v>
      </c>
      <c r="X14" s="137"/>
    </row>
    <row r="15" spans="1:24" hidden="1" x14ac:dyDescent="0.2">
      <c r="A15" s="137"/>
      <c r="B15" s="155" t="s">
        <v>277</v>
      </c>
      <c r="C15" s="156">
        <f>C12*IF(C10&lt; 10000000,100%,100%)</f>
        <v>1.4999999999999999E-2</v>
      </c>
      <c r="D15" s="156">
        <f>D12*IF(D10&lt; 10000000,100%,100%)</f>
        <v>1.4999999999999999E-2</v>
      </c>
      <c r="E15" s="156">
        <f>E12*IF(E10&lt; 10000000,100%,100%)</f>
        <v>1.4999999999999999E-2</v>
      </c>
      <c r="F15" s="197">
        <f>F12*IF(F10&lt; 10000000,100%,100%)</f>
        <v>1.4999999999999999E-2</v>
      </c>
      <c r="G15" s="197">
        <f>G12*IF(G10&lt; 10000000,100%,100%)</f>
        <v>1.4999999999999999E-2</v>
      </c>
      <c r="H15" s="170"/>
      <c r="I15" s="154"/>
      <c r="J15" s="155" t="s">
        <v>277</v>
      </c>
      <c r="K15" s="316">
        <f>K12*IF(K10&lt; 10000000,100%,100%)</f>
        <v>1.4999999999999999E-2</v>
      </c>
      <c r="L15" s="316">
        <f>L12*IF(L10&lt; 10000000,100%,100%)</f>
        <v>1.4999999999999999E-2</v>
      </c>
      <c r="M15" s="316">
        <f>M12*IF(M10&lt; 10000000,100%,100%)</f>
        <v>1.4999999999999999E-2</v>
      </c>
      <c r="N15" s="316">
        <f>N12*IF(N10&lt; 10000000,100%,100%)</f>
        <v>1.4999999999999999E-2</v>
      </c>
      <c r="O15" s="316">
        <f>O12*IF(O10&lt; 10000000,100%,100%)</f>
        <v>1.4999999999999999E-2</v>
      </c>
      <c r="P15" s="137"/>
      <c r="Q15" s="137"/>
      <c r="R15" s="155" t="s">
        <v>277</v>
      </c>
      <c r="S15" s="316">
        <f>S12*IF(S10&lt; 10000000,100%,100%)</f>
        <v>1.4999999999999999E-2</v>
      </c>
      <c r="T15" s="316">
        <f>T12*IF(T10&lt; 10000000,100%,100%)</f>
        <v>1.4999999999999999E-2</v>
      </c>
      <c r="U15" s="316">
        <f>U12*IF(U10&lt; 10000000,100%,100%)</f>
        <v>1.4999999999999999E-2</v>
      </c>
      <c r="V15" s="316">
        <f>V12*IF(V10&lt; 10000000,100%,100%)</f>
        <v>1.4999999999999999E-2</v>
      </c>
      <c r="W15" s="316">
        <f>W12*IF(W10&lt; 10000000,100%,100%)</f>
        <v>1.4999999999999999E-2</v>
      </c>
      <c r="X15" s="137"/>
    </row>
    <row r="16" spans="1:24" hidden="1" x14ac:dyDescent="0.2">
      <c r="A16" s="137"/>
      <c r="B16" s="147"/>
      <c r="C16" s="170"/>
      <c r="D16" s="170"/>
      <c r="E16" s="170"/>
      <c r="F16" s="170"/>
      <c r="G16" s="170"/>
      <c r="H16" s="170"/>
      <c r="I16" s="154"/>
      <c r="J16" s="147"/>
      <c r="K16" s="153"/>
      <c r="L16" s="153"/>
      <c r="M16" s="153"/>
      <c r="N16" s="153"/>
      <c r="O16" s="153"/>
      <c r="P16" s="137"/>
      <c r="Q16" s="137"/>
      <c r="R16" s="147"/>
      <c r="S16" s="153"/>
      <c r="T16" s="153"/>
      <c r="U16" s="153"/>
      <c r="V16" s="153"/>
      <c r="W16" s="153"/>
      <c r="X16" s="137"/>
    </row>
    <row r="17" spans="1:24" hidden="1" x14ac:dyDescent="0.2">
      <c r="A17" s="137"/>
      <c r="B17" s="155" t="s">
        <v>236</v>
      </c>
      <c r="C17" s="158">
        <f>enterprise!K64</f>
        <v>0</v>
      </c>
      <c r="D17" s="158">
        <f>enterprise!O64</f>
        <v>0</v>
      </c>
      <c r="E17" s="158">
        <f>enterprise!S64</f>
        <v>0</v>
      </c>
      <c r="F17" s="158">
        <f>enterprise!W64</f>
        <v>0</v>
      </c>
      <c r="G17" s="210">
        <f>enterprise!AA64</f>
        <v>0</v>
      </c>
      <c r="H17" s="187"/>
      <c r="I17" s="148"/>
      <c r="J17" s="155" t="s">
        <v>236</v>
      </c>
      <c r="K17" s="158">
        <f>Field_RentasDep_F1</f>
        <v>0</v>
      </c>
      <c r="L17" s="158">
        <f>Field_RentasDep_F2</f>
        <v>0</v>
      </c>
      <c r="M17" s="158">
        <f>Field_RentasDep_F3</f>
        <v>0</v>
      </c>
      <c r="N17" s="158">
        <f>Field_RentasDep_F4</f>
        <v>0</v>
      </c>
      <c r="O17" s="210">
        <f>Field_RentasDep_F5</f>
        <v>0</v>
      </c>
      <c r="P17" s="140"/>
      <c r="Q17" s="140"/>
      <c r="R17" s="137"/>
      <c r="S17" s="137"/>
      <c r="T17" s="137"/>
      <c r="U17" s="137"/>
      <c r="V17" s="137"/>
      <c r="W17" s="137"/>
      <c r="X17" s="137"/>
    </row>
    <row r="18" spans="1:24" hidden="1" x14ac:dyDescent="0.2">
      <c r="A18" s="137"/>
      <c r="B18" s="155" t="s">
        <v>235</v>
      </c>
      <c r="C18" s="173">
        <f>+C17*C30</f>
        <v>0</v>
      </c>
      <c r="D18" s="173">
        <f>+D17*D30</f>
        <v>0</v>
      </c>
      <c r="E18" s="173">
        <f>+E17*E30</f>
        <v>0</v>
      </c>
      <c r="F18" s="173">
        <f>+F17*F30</f>
        <v>0</v>
      </c>
      <c r="G18" s="211">
        <f>+G17*G30</f>
        <v>0</v>
      </c>
      <c r="H18" s="200"/>
      <c r="I18" s="137"/>
      <c r="J18" s="155" t="s">
        <v>235</v>
      </c>
      <c r="K18" s="173">
        <f>+K17*K30</f>
        <v>0</v>
      </c>
      <c r="L18" s="173">
        <f>+L17*L30</f>
        <v>0</v>
      </c>
      <c r="M18" s="173">
        <f>+M17*M30</f>
        <v>0</v>
      </c>
      <c r="N18" s="173">
        <f>+N17*N30</f>
        <v>0</v>
      </c>
      <c r="O18" s="211">
        <f>+O17*O30</f>
        <v>0</v>
      </c>
      <c r="P18" s="140"/>
      <c r="Q18" s="140"/>
      <c r="R18" s="137"/>
      <c r="S18" s="137"/>
      <c r="T18" s="137"/>
      <c r="U18" s="137"/>
      <c r="V18" s="137"/>
      <c r="W18" s="137"/>
      <c r="X18" s="137"/>
    </row>
    <row r="19" spans="1:24" hidden="1" x14ac:dyDescent="0.2">
      <c r="A19" s="137"/>
      <c r="B19" s="147"/>
      <c r="C19" s="170"/>
      <c r="D19" s="170"/>
      <c r="E19" s="170"/>
      <c r="F19" s="170"/>
      <c r="G19" s="170"/>
      <c r="H19" s="170"/>
      <c r="I19" s="154"/>
      <c r="J19" s="147"/>
      <c r="K19" s="153"/>
      <c r="L19" s="153"/>
      <c r="M19" s="153"/>
      <c r="N19" s="153"/>
      <c r="O19" s="153"/>
      <c r="P19" s="137"/>
      <c r="Q19" s="137"/>
      <c r="R19" s="137"/>
      <c r="S19" s="137"/>
      <c r="T19" s="137"/>
      <c r="U19" s="137"/>
      <c r="V19" s="137"/>
      <c r="W19" s="137"/>
      <c r="X19" s="137"/>
    </row>
    <row r="20" spans="1:24" hidden="1" x14ac:dyDescent="0.2">
      <c r="A20" s="137"/>
      <c r="B20" s="155" t="s">
        <v>86</v>
      </c>
      <c r="C20" s="156">
        <f>Field_Residual_1</f>
        <v>0.35</v>
      </c>
      <c r="D20" s="156">
        <f>Field_Residual_2</f>
        <v>0.3</v>
      </c>
      <c r="E20" s="156">
        <f>Field_Residual_3</f>
        <v>0.25</v>
      </c>
      <c r="F20" s="156">
        <f>Field_Residual_4</f>
        <v>0.2</v>
      </c>
      <c r="G20" s="206">
        <f>Field_Residual_5</f>
        <v>0.15</v>
      </c>
      <c r="H20" s="164"/>
      <c r="I20" s="137"/>
      <c r="J20" s="155" t="s">
        <v>279</v>
      </c>
      <c r="K20" s="156">
        <f>Field_OpcionCompra_F1</f>
        <v>0.01</v>
      </c>
      <c r="L20" s="156">
        <f>Field_OpcionCompra_F2</f>
        <v>0.01</v>
      </c>
      <c r="M20" s="156">
        <f>Field_OpcionCompra_F3</f>
        <v>0.01</v>
      </c>
      <c r="N20" s="156">
        <f>Field_OpcionCompra_F4</f>
        <v>0.01</v>
      </c>
      <c r="O20" s="206">
        <f>Field_OpcionCompra_F5</f>
        <v>0.01</v>
      </c>
      <c r="P20" s="140"/>
      <c r="Q20" s="140"/>
      <c r="R20" s="137"/>
      <c r="S20" s="137"/>
      <c r="T20" s="137"/>
      <c r="U20" s="137"/>
      <c r="V20" s="137"/>
      <c r="W20" s="137"/>
      <c r="X20" s="137"/>
    </row>
    <row r="21" spans="1:24" hidden="1" x14ac:dyDescent="0.2">
      <c r="A21" s="137"/>
      <c r="B21" s="155" t="s">
        <v>1</v>
      </c>
      <c r="C21" s="173">
        <f>Field_ResidualVal_1</f>
        <v>959147.24137931038</v>
      </c>
      <c r="D21" s="173">
        <f>Field_ResidualVal_2</f>
        <v>822126.20689655177</v>
      </c>
      <c r="E21" s="173">
        <f>Field_ResidualVal_3</f>
        <v>685105.17241379316</v>
      </c>
      <c r="F21" s="173">
        <f>Field_ResidualVal_4</f>
        <v>548084.13793103455</v>
      </c>
      <c r="G21" s="211">
        <f>Field_ResidualVal_5</f>
        <v>411063.10344827588</v>
      </c>
      <c r="H21" s="200"/>
      <c r="I21" s="137"/>
      <c r="J21" s="222" t="s">
        <v>278</v>
      </c>
      <c r="K21" s="223">
        <f>+K20* Field_EquipoMontoTotal</f>
        <v>27404.206896551728</v>
      </c>
      <c r="L21" s="223">
        <f>+L20* Field_EquipoMontoTotal</f>
        <v>27404.206896551728</v>
      </c>
      <c r="M21" s="223">
        <f>+M20* Field_EquipoMontoTotal</f>
        <v>27404.206896551728</v>
      </c>
      <c r="N21" s="223">
        <f>+N20* Field_EquipoMontoTotal</f>
        <v>27404.206896551728</v>
      </c>
      <c r="O21" s="224">
        <f>+O20* Field_EquipoMontoTotal</f>
        <v>27404.206896551728</v>
      </c>
      <c r="Q21" s="140"/>
      <c r="R21" s="137"/>
      <c r="S21" s="137"/>
      <c r="T21" s="137"/>
      <c r="U21" s="137"/>
      <c r="V21" s="137"/>
      <c r="W21" s="137"/>
      <c r="X21" s="137"/>
    </row>
    <row r="22" spans="1:24" hidden="1" x14ac:dyDescent="0.2">
      <c r="A22" s="140"/>
      <c r="B22" s="155" t="s">
        <v>93</v>
      </c>
      <c r="C22" s="161" t="str">
        <f>Field_ResGar</f>
        <v>Si</v>
      </c>
      <c r="D22" s="161" t="str">
        <f>Field_ResGar</f>
        <v>Si</v>
      </c>
      <c r="E22" s="161" t="str">
        <f>Field_ResGar</f>
        <v>Si</v>
      </c>
      <c r="F22" s="161" t="str">
        <f>Field_ResGar</f>
        <v>Si</v>
      </c>
      <c r="G22" s="217" t="str">
        <f>Field_ResGar</f>
        <v>Si</v>
      </c>
      <c r="H22" s="188"/>
      <c r="I22" s="137"/>
      <c r="J22" s="147"/>
      <c r="K22" s="157"/>
      <c r="L22" s="157"/>
      <c r="M22" s="157"/>
      <c r="N22" s="157"/>
      <c r="O22" s="157"/>
      <c r="P22" s="137"/>
      <c r="Q22" s="137"/>
      <c r="R22" s="137"/>
      <c r="S22" s="137"/>
      <c r="T22" s="137"/>
      <c r="U22" s="137"/>
      <c r="V22" s="137"/>
      <c r="W22" s="137"/>
      <c r="X22" s="137"/>
    </row>
    <row r="23" spans="1:24" hidden="1" x14ac:dyDescent="0.2">
      <c r="A23" s="137"/>
      <c r="B23" s="155" t="s">
        <v>84</v>
      </c>
      <c r="C23" s="156">
        <f>Field_ResidualCte_1</f>
        <v>0.38</v>
      </c>
      <c r="D23" s="156">
        <f>Field_ResidualCte_2</f>
        <v>0.32999999999999996</v>
      </c>
      <c r="E23" s="156">
        <f>Field_ResidualCte_3</f>
        <v>0.28000000000000003</v>
      </c>
      <c r="F23" s="156">
        <f>Field_ResidualCte_4</f>
        <v>0.23</v>
      </c>
      <c r="G23" s="218">
        <f>Field_ResidualCte_5</f>
        <v>0.18</v>
      </c>
      <c r="H23" s="164"/>
      <c r="I23" s="137"/>
      <c r="J23" s="147"/>
      <c r="K23" s="136"/>
      <c r="L23" s="145"/>
      <c r="M23" s="225"/>
      <c r="N23" s="136"/>
      <c r="O23" s="136"/>
      <c r="P23" s="137"/>
      <c r="Q23" s="137"/>
      <c r="R23" s="147"/>
      <c r="S23" s="136"/>
      <c r="T23" s="136"/>
      <c r="U23" s="136"/>
      <c r="V23" s="136"/>
      <c r="W23" s="136"/>
      <c r="X23" s="137"/>
    </row>
    <row r="24" spans="1:24" hidden="1" x14ac:dyDescent="0.2">
      <c r="A24" s="137"/>
      <c r="B24" s="155" t="s">
        <v>85</v>
      </c>
      <c r="C24" s="173">
        <f>Field_ResidualValcte_1</f>
        <v>1041359.8620689656</v>
      </c>
      <c r="D24" s="173">
        <f>Field_ResidualValcte_2</f>
        <v>904338.82758620684</v>
      </c>
      <c r="E24" s="173">
        <f>Field_ResidualValcte_3</f>
        <v>767317.79310344846</v>
      </c>
      <c r="F24" s="173">
        <f>Field_ResidualValcte_4</f>
        <v>630296.75862068974</v>
      </c>
      <c r="G24" s="211">
        <f>Field_ResidualValcte_5</f>
        <v>493275.72413793107</v>
      </c>
      <c r="H24" s="200"/>
      <c r="I24" s="137"/>
      <c r="J24" s="147"/>
      <c r="K24" s="136"/>
      <c r="L24" s="145"/>
      <c r="M24" s="226"/>
      <c r="N24" s="136"/>
      <c r="O24" s="136"/>
      <c r="P24" s="137"/>
      <c r="Q24" s="137"/>
      <c r="R24" s="147"/>
      <c r="S24" s="136"/>
      <c r="T24" s="136"/>
      <c r="U24" s="136"/>
      <c r="V24" s="136"/>
      <c r="W24" s="136"/>
      <c r="X24" s="137"/>
    </row>
    <row r="25" spans="1:24" hidden="1" x14ac:dyDescent="0.2">
      <c r="A25" s="137"/>
      <c r="B25" s="147"/>
      <c r="C25" s="171"/>
      <c r="D25" s="171"/>
      <c r="E25" s="171"/>
      <c r="F25" s="171"/>
      <c r="G25" s="171"/>
      <c r="H25" s="171"/>
      <c r="I25" s="154"/>
      <c r="J25" s="147"/>
      <c r="K25" s="153"/>
      <c r="L25" s="145"/>
      <c r="M25" s="227"/>
      <c r="N25" s="153"/>
      <c r="O25" s="153"/>
      <c r="P25" s="137"/>
      <c r="Q25" s="137"/>
      <c r="R25" s="147"/>
      <c r="S25" s="153"/>
      <c r="T25" s="153"/>
      <c r="U25" s="153"/>
      <c r="V25" s="153"/>
      <c r="W25" s="153"/>
      <c r="X25" s="137"/>
    </row>
    <row r="26" spans="1:24" ht="25.5" hidden="1" x14ac:dyDescent="0.2">
      <c r="A26" s="137"/>
      <c r="B26" s="162" t="s">
        <v>225</v>
      </c>
      <c r="C26" s="173">
        <f>IF(C22="Si",C24,C21)</f>
        <v>1041359.8620689656</v>
      </c>
      <c r="D26" s="173">
        <f>IF(D22="Si",D24,D21)</f>
        <v>904338.82758620684</v>
      </c>
      <c r="E26" s="173">
        <f>IF(E22="Si",E24,E21)</f>
        <v>767317.79310344846</v>
      </c>
      <c r="F26" s="173">
        <f>IF(F22="Si",F24,F21)</f>
        <v>630296.75862068974</v>
      </c>
      <c r="G26" s="211">
        <f>IF(G22="Si",G24,G21)</f>
        <v>493275.72413793107</v>
      </c>
      <c r="H26" s="200"/>
      <c r="I26" s="137"/>
      <c r="J26" s="147"/>
      <c r="K26" s="136"/>
      <c r="L26" s="145"/>
      <c r="M26" s="227"/>
      <c r="N26" s="136"/>
      <c r="O26" s="136"/>
      <c r="P26" s="137"/>
      <c r="Q26" s="137"/>
      <c r="R26" s="147"/>
      <c r="S26" s="136"/>
      <c r="T26" s="136"/>
      <c r="U26" s="136"/>
      <c r="V26" s="136"/>
      <c r="W26" s="136"/>
      <c r="X26" s="137"/>
    </row>
    <row r="27" spans="1:24" hidden="1" x14ac:dyDescent="0.2">
      <c r="A27" s="137"/>
      <c r="B27" s="147"/>
      <c r="C27" s="171"/>
      <c r="D27" s="171"/>
      <c r="E27" s="171"/>
      <c r="F27" s="171"/>
      <c r="G27" s="171"/>
      <c r="H27" s="171"/>
      <c r="I27" s="154"/>
      <c r="J27" s="147"/>
      <c r="K27" s="153"/>
      <c r="L27" s="225"/>
      <c r="M27" s="228"/>
      <c r="N27" s="153"/>
      <c r="O27" s="153"/>
      <c r="P27" s="137"/>
      <c r="Q27" s="137"/>
      <c r="R27" s="147"/>
      <c r="S27" s="153"/>
      <c r="T27" s="153"/>
      <c r="U27" s="153"/>
      <c r="V27" s="153"/>
      <c r="W27" s="153"/>
      <c r="X27" s="137"/>
    </row>
    <row r="28" spans="1:24" hidden="1" x14ac:dyDescent="0.2">
      <c r="A28" s="137"/>
      <c r="B28" s="162" t="s">
        <v>242</v>
      </c>
      <c r="C28" s="181">
        <f>Field_TasaNom_Puro_1</f>
        <v>0.13100000000000001</v>
      </c>
      <c r="D28" s="181">
        <f>Field_TasaNom_Puro_2</f>
        <v>0.13100000000000001</v>
      </c>
      <c r="E28" s="181">
        <f>Field_TasaNom_Puro_3</f>
        <v>0.25</v>
      </c>
      <c r="F28" s="181">
        <f>Field_TasaNom_Puro_4</f>
        <v>0.13100000000000001</v>
      </c>
      <c r="G28" s="214">
        <f>Field_TasaNom_Puro_5</f>
        <v>0.13100000000000001</v>
      </c>
      <c r="H28" s="189"/>
      <c r="I28" s="137"/>
      <c r="J28" s="162" t="s">
        <v>242</v>
      </c>
      <c r="K28" s="181">
        <f>enterprise!K88</f>
        <v>0.125</v>
      </c>
      <c r="L28" s="181">
        <f>enterprise!O88</f>
        <v>0.1275</v>
      </c>
      <c r="M28" s="181">
        <f>enterprise!S88</f>
        <v>0.13</v>
      </c>
      <c r="N28" s="181">
        <f>enterprise!W88</f>
        <v>0.13300000000000001</v>
      </c>
      <c r="O28" s="214">
        <f>enterprise!AA88</f>
        <v>0.13700000000000001</v>
      </c>
      <c r="Q28" s="137"/>
      <c r="R28" s="162" t="s">
        <v>242</v>
      </c>
      <c r="S28" s="181">
        <f>enterprise!K107</f>
        <v>0.125</v>
      </c>
      <c r="T28" s="181">
        <f>enterprise!O107</f>
        <v>0.1275</v>
      </c>
      <c r="U28" s="181">
        <f>enterprise!S107</f>
        <v>0.13</v>
      </c>
      <c r="V28" s="181">
        <f>enterprise!W107</f>
        <v>0.13300000000000001</v>
      </c>
      <c r="W28" s="214">
        <f>enterprise!AA107</f>
        <v>0.13700000000000001</v>
      </c>
      <c r="X28" s="137"/>
    </row>
    <row r="29" spans="1:24" ht="13.5" hidden="1" thickBot="1" x14ac:dyDescent="0.25">
      <c r="A29" s="137"/>
      <c r="B29" s="162" t="s">
        <v>237</v>
      </c>
      <c r="C29" s="174" t="str">
        <f>Field_FullPayOut</f>
        <v>No</v>
      </c>
      <c r="D29" s="174" t="str">
        <f>Field_FullPayOut</f>
        <v>No</v>
      </c>
      <c r="E29" s="174" t="str">
        <f>Field_FullPayOut</f>
        <v>No</v>
      </c>
      <c r="F29" s="174" t="str">
        <f>Field_FullPayOut</f>
        <v>No</v>
      </c>
      <c r="G29" s="216" t="str">
        <f>Field_FullPayOut</f>
        <v>No</v>
      </c>
      <c r="H29" s="190"/>
      <c r="I29" s="137"/>
      <c r="J29" s="162" t="s">
        <v>237</v>
      </c>
      <c r="K29" s="174"/>
      <c r="L29" s="174"/>
      <c r="M29" s="174"/>
      <c r="N29" s="174"/>
      <c r="O29" s="216"/>
      <c r="P29" s="140"/>
      <c r="Q29" s="140"/>
      <c r="R29" s="140"/>
      <c r="S29" s="174"/>
      <c r="T29" s="174"/>
      <c r="U29" s="174"/>
      <c r="V29" s="174"/>
      <c r="W29" s="216"/>
      <c r="X29" s="137"/>
    </row>
    <row r="30" spans="1:24" ht="18.75" hidden="1" customHeight="1" thickBot="1" x14ac:dyDescent="0.3">
      <c r="A30" s="179"/>
      <c r="B30" s="178" t="s">
        <v>55</v>
      </c>
      <c r="C30" s="175">
        <f>+PMT(C28/12,C5,-C10,IF(C29="Si",0,C21))</f>
        <v>95239.368694506993</v>
      </c>
      <c r="D30" s="176">
        <f>+PMT(D28/12,D5,-D10,IF(D29="Si",0,D21))</f>
        <v>73702.235714330018</v>
      </c>
      <c r="E30" s="176">
        <f>+PMT(E28/12,E5,-E10,IF(E29="Si",0,E21))</f>
        <v>82421.384557207071</v>
      </c>
      <c r="F30" s="176">
        <f>+PMT(F28/12,F5,-F10,IF(F29="Si",0,F21))</f>
        <v>55977.94521814827</v>
      </c>
      <c r="G30" s="177">
        <f>+PMT(G28/12,G5,-G10,IF(G29="Si",0,G21))</f>
        <v>51370.238451216654</v>
      </c>
      <c r="H30" s="195"/>
      <c r="I30" s="179"/>
      <c r="J30" s="178" t="s">
        <v>70</v>
      </c>
      <c r="K30" s="175">
        <f>+PMT(K28/12,K5,-K10,0)</f>
        <v>116677.73363441166</v>
      </c>
      <c r="L30" s="176">
        <f>+PMT(L28/12,L5,-L10,0)</f>
        <v>82805.363571820868</v>
      </c>
      <c r="M30" s="176">
        <f>+PMT(M28/12,M5,-M10,0)</f>
        <v>66166.762319021247</v>
      </c>
      <c r="N30" s="176">
        <f>+PMT(N28/12,N5,-N10,0)</f>
        <v>56497.188680643572</v>
      </c>
      <c r="O30" s="177">
        <f>+PMT(O28/12,O5,-O10,0)</f>
        <v>50426.204075025176</v>
      </c>
      <c r="P30" s="140"/>
      <c r="Q30" s="179"/>
      <c r="R30" s="178" t="s">
        <v>70</v>
      </c>
      <c r="S30" s="175">
        <f>+PMT(S28/12,S5,-S10,0)</f>
        <v>135346.17101591753</v>
      </c>
      <c r="T30" s="176">
        <f>+PMT(T28/12,T5,-T10,0)</f>
        <v>96054.221743312213</v>
      </c>
      <c r="U30" s="176">
        <f>+PMT(U28/12,U5,-U10,0)</f>
        <v>76753.444290064654</v>
      </c>
      <c r="V30" s="176">
        <f>+PMT(V28/12,V5,-V10,0)</f>
        <v>65536.738869546549</v>
      </c>
      <c r="W30" s="177">
        <f>+PMT(W28/12,W5,-W10,0)</f>
        <v>58494.396727029212</v>
      </c>
      <c r="X30" s="137"/>
    </row>
    <row r="31" spans="1:24" ht="15" hidden="1" customHeight="1" x14ac:dyDescent="0.2">
      <c r="A31" s="137"/>
      <c r="B31" s="162" t="s">
        <v>238</v>
      </c>
      <c r="C31" s="180">
        <f>IF(C10&gt;0,C30/C10,0)</f>
        <v>3.475355774900786E-2</v>
      </c>
      <c r="D31" s="180">
        <f>IF(D10&gt;0,D30/D10,0)</f>
        <v>2.6894496889674255E-2</v>
      </c>
      <c r="E31" s="180">
        <f>IF(E10&gt;0,E30/E10,0)</f>
        <v>3.0076179496213832E-2</v>
      </c>
      <c r="F31" s="180">
        <f>IF(F10&gt;0,F30/F10,0)</f>
        <v>2.0426770761678922E-2</v>
      </c>
      <c r="G31" s="212">
        <f>IF(G10&gt;0,G30/G10,0)</f>
        <v>1.8745384110233299E-2</v>
      </c>
      <c r="H31" s="191"/>
      <c r="I31" s="137"/>
      <c r="J31" s="162" t="s">
        <v>238</v>
      </c>
      <c r="K31" s="180">
        <f>IF(K10&gt;0,K30/K10,0)</f>
        <v>4.7307308235499515E-2</v>
      </c>
      <c r="L31" s="180">
        <f>IF(L10&gt;0,L30/L10,0)</f>
        <v>3.3573662566320259E-2</v>
      </c>
      <c r="M31" s="180">
        <f>IF(M10&gt;0,M30/M10,0)</f>
        <v>2.6827495893764895E-2</v>
      </c>
      <c r="N31" s="180">
        <f>IF(N10&gt;0,N30/N10,0)</f>
        <v>2.290694064840932E-2</v>
      </c>
      <c r="O31" s="212">
        <f>IF(O10&gt;0,O30/O10,0)</f>
        <v>2.0445443230822716E-2</v>
      </c>
      <c r="P31" s="140"/>
      <c r="Q31" s="137"/>
      <c r="R31" s="162" t="s">
        <v>238</v>
      </c>
      <c r="S31" s="180">
        <f>IF(S10&gt;0,S30/S10,0)</f>
        <v>4.7307308235499515E-2</v>
      </c>
      <c r="T31" s="180">
        <f>IF(T10&gt;0,T30/T10,0)</f>
        <v>3.3573662566320259E-2</v>
      </c>
      <c r="U31" s="180">
        <f>IF(U10&gt;0,U30/U10,0)</f>
        <v>2.6827495893764895E-2</v>
      </c>
      <c r="V31" s="180">
        <f>IF(V10&gt;0,V30/V10,0)</f>
        <v>2.290694064840932E-2</v>
      </c>
      <c r="W31" s="212">
        <f>IF(W10&gt;0,W30/W10,0)</f>
        <v>2.0445443230822716E-2</v>
      </c>
      <c r="X31" s="137"/>
    </row>
    <row r="32" spans="1:24" hidden="1" x14ac:dyDescent="0.2">
      <c r="A32" s="137"/>
      <c r="B32" s="147"/>
      <c r="C32" s="171"/>
      <c r="D32" s="171"/>
      <c r="E32" s="171"/>
      <c r="F32" s="171"/>
      <c r="G32" s="171"/>
      <c r="H32" s="171"/>
      <c r="I32" s="154"/>
      <c r="J32" s="147"/>
      <c r="K32" s="153"/>
      <c r="L32" s="153"/>
      <c r="M32" s="153"/>
      <c r="N32" s="153"/>
      <c r="O32" s="153"/>
      <c r="P32" s="137"/>
      <c r="Q32" s="137"/>
      <c r="R32" s="147"/>
      <c r="S32" s="153"/>
      <c r="T32" s="153"/>
      <c r="U32" s="153"/>
      <c r="V32" s="153"/>
      <c r="W32" s="153"/>
      <c r="X32" s="137"/>
    </row>
    <row r="33" spans="1:23" ht="20.25" hidden="1" customHeight="1" x14ac:dyDescent="0.2">
      <c r="A33" s="140"/>
      <c r="B33" s="162" t="s">
        <v>240</v>
      </c>
      <c r="C33" s="156">
        <f>Field_BlindDPc_1</f>
        <v>0</v>
      </c>
      <c r="D33" s="156">
        <f>Field_BlindDPc_2</f>
        <v>0.02</v>
      </c>
      <c r="E33" s="156">
        <f>Field_BlindDPc_3</f>
        <v>0.02</v>
      </c>
      <c r="F33" s="156">
        <f>Field_BlindDPc_4</f>
        <v>0.02</v>
      </c>
      <c r="G33" s="206">
        <f>Field_BlindDPc_5</f>
        <v>0</v>
      </c>
      <c r="H33" s="164"/>
      <c r="I33" s="148"/>
      <c r="J33" s="162" t="s">
        <v>240</v>
      </c>
      <c r="K33" s="156">
        <f>Field_BlindDFin_1</f>
        <v>0</v>
      </c>
      <c r="L33" s="156">
        <f>Field_BlindDFin_2</f>
        <v>0</v>
      </c>
      <c r="M33" s="156">
        <f>Field_BlindDFin_3</f>
        <v>0</v>
      </c>
      <c r="N33" s="156">
        <f>Field_BlindDFin_4</f>
        <v>0</v>
      </c>
      <c r="O33" s="206">
        <f>Field_BlindDFin_5</f>
        <v>0</v>
      </c>
      <c r="P33" s="140"/>
      <c r="Q33" s="140"/>
      <c r="R33" s="162" t="s">
        <v>240</v>
      </c>
      <c r="S33" s="156">
        <v>0</v>
      </c>
      <c r="T33" s="156">
        <v>0</v>
      </c>
      <c r="U33" s="156">
        <v>0</v>
      </c>
      <c r="V33" s="156">
        <v>0</v>
      </c>
      <c r="W33" s="206">
        <v>0</v>
      </c>
    </row>
    <row r="34" spans="1:23" ht="17.25" hidden="1" customHeight="1" x14ac:dyDescent="0.2">
      <c r="B34" s="162" t="s">
        <v>239</v>
      </c>
      <c r="C34" s="163">
        <f>Field_BlindD_Monto_Puro_1</f>
        <v>0</v>
      </c>
      <c r="D34" s="163">
        <f>Field_BlindD_Monto_Puro_2</f>
        <v>54808.413793103457</v>
      </c>
      <c r="E34" s="163">
        <f>Field_BlindD_Monto_Puro_3</f>
        <v>54808.413793103457</v>
      </c>
      <c r="F34" s="163">
        <f>Field_BlindD_Monto_Puro_4</f>
        <v>54808.413793103457</v>
      </c>
      <c r="G34" s="213">
        <f>Field_BlindD_Monto_Puro_5</f>
        <v>0</v>
      </c>
      <c r="H34" s="192"/>
      <c r="I34" s="149"/>
      <c r="J34" s="162" t="s">
        <v>239</v>
      </c>
      <c r="K34" s="163">
        <f>Field_BlindDMonto_F1</f>
        <v>0</v>
      </c>
      <c r="L34" s="163">
        <f>Field_BlindDMonto_F2</f>
        <v>0</v>
      </c>
      <c r="M34" s="163">
        <f>Field_BlindDMonto_F3</f>
        <v>0</v>
      </c>
      <c r="N34" s="163">
        <f>Field_BlindDMonto_F4</f>
        <v>0</v>
      </c>
      <c r="O34" s="213">
        <f>Field_BlindDMonto_F5</f>
        <v>0</v>
      </c>
      <c r="P34" s="140"/>
      <c r="Q34" s="140"/>
      <c r="R34" s="162" t="s">
        <v>239</v>
      </c>
      <c r="S34" s="163">
        <v>0</v>
      </c>
      <c r="T34" s="163">
        <v>0</v>
      </c>
      <c r="U34" s="163">
        <v>0</v>
      </c>
      <c r="V34" s="163">
        <v>0</v>
      </c>
      <c r="W34" s="213">
        <v>0</v>
      </c>
    </row>
    <row r="35" spans="1:23" hidden="1" x14ac:dyDescent="0.2">
      <c r="A35" s="140"/>
      <c r="B35" s="140"/>
      <c r="C35" s="145"/>
      <c r="D35" s="145"/>
      <c r="E35" s="145"/>
      <c r="F35" s="145"/>
      <c r="G35" s="199"/>
      <c r="H35" s="199"/>
      <c r="I35" s="140"/>
      <c r="J35" s="135"/>
      <c r="P35" s="140"/>
      <c r="Q35" s="140"/>
      <c r="R35" s="135"/>
    </row>
    <row r="36" spans="1:23" hidden="1" x14ac:dyDescent="0.2">
      <c r="A36" s="140"/>
      <c r="B36" s="162" t="s">
        <v>62</v>
      </c>
      <c r="C36" s="181">
        <f>RATE(C5,C30,-C10,IF(C22="Si",C24,C21))*12</f>
        <v>0.14904829811541526</v>
      </c>
      <c r="D36" s="181">
        <f>RATE(D5,D30,-D10,IF(D22="Si",D24,D21))*12</f>
        <v>0.14242176672265638</v>
      </c>
      <c r="E36" s="181">
        <f>RATE(E5,E30,-E10,IF(E22="Si",E24,E21))*12</f>
        <v>0.25581375917069066</v>
      </c>
      <c r="F36" s="181">
        <f>RATE(F5,F30,-F10,IF(F22="Si",F24,F21))*12</f>
        <v>0.13706647391130861</v>
      </c>
      <c r="G36" s="181">
        <f>RATE(G5,G30,-G10,IF(G22="Si",G24,G21))*12</f>
        <v>0.13572393789285539</v>
      </c>
      <c r="H36" s="189"/>
      <c r="I36" s="140"/>
      <c r="J36" s="162" t="s">
        <v>62</v>
      </c>
      <c r="K36" s="181"/>
      <c r="L36" s="181"/>
      <c r="M36" s="181"/>
      <c r="N36" s="181"/>
      <c r="O36" s="181"/>
      <c r="P36" s="140"/>
      <c r="Q36" s="140"/>
      <c r="R36" s="162" t="s">
        <v>62</v>
      </c>
      <c r="S36" s="181"/>
      <c r="T36" s="181"/>
      <c r="U36" s="181"/>
      <c r="V36" s="181"/>
      <c r="W36" s="181"/>
    </row>
    <row r="37" spans="1:23" ht="20.25" hidden="1" customHeight="1" x14ac:dyDescent="0.25">
      <c r="A37" s="179"/>
      <c r="B37" s="219" t="s">
        <v>241</v>
      </c>
      <c r="C37" s="182">
        <f>+IRR(C38:C119,0.01)*12</f>
        <v>0.16105985982764093</v>
      </c>
      <c r="D37" s="182">
        <f>+IRR(D38:D119,0.01)*12</f>
        <v>0.16288318412338221</v>
      </c>
      <c r="E37" s="182">
        <f>+IRR(E38:E119,0.01)*12</f>
        <v>0.27470116367448849</v>
      </c>
      <c r="F37" s="182">
        <f>+IRR(F38:F119,0.01)*12</f>
        <v>0.15114534518821898</v>
      </c>
      <c r="G37" s="198">
        <f>+IRR(G38:G119,0.01)*12</f>
        <v>0.14099360295742347</v>
      </c>
      <c r="H37" s="215"/>
      <c r="I37" s="179"/>
      <c r="J37" s="178" t="s">
        <v>5</v>
      </c>
      <c r="K37" s="182">
        <f>+IRR(K38:K119,0.01)*12</f>
        <v>0.14889389752019078</v>
      </c>
      <c r="L37" s="182">
        <f>+IRR(L38:L119,0.01)*12</f>
        <v>0.14328878029625081</v>
      </c>
      <c r="M37" s="182">
        <f>+IRR(M38:M119,0.01)*12</f>
        <v>0.1417043177333559</v>
      </c>
      <c r="N37" s="182">
        <f>+IRR(N38:N119,0.01)*12</f>
        <v>0.14226501159339566</v>
      </c>
      <c r="O37" s="182">
        <f>+IRR(O38:O119,0.01)*12</f>
        <v>0.14465960517742982</v>
      </c>
      <c r="P37" s="140"/>
      <c r="Q37" s="179"/>
      <c r="R37" s="178" t="s">
        <v>5</v>
      </c>
      <c r="S37" s="182">
        <f>+IRR(S38:S119,0.01)*12</f>
        <v>0.14031412069437632</v>
      </c>
      <c r="T37" s="182">
        <f>+IRR(T38:T119,0.01)*12</f>
        <v>0.13809000874955046</v>
      </c>
      <c r="U37" s="182">
        <f>+IRR(U38:U119,0.01)*12</f>
        <v>0.13819536231871776</v>
      </c>
      <c r="V37" s="182">
        <f>+IRR(V38:V119,0.01)*12</f>
        <v>0.13975936482194218</v>
      </c>
      <c r="W37" s="182">
        <f>+IRR(W38:W119,0.01)*12</f>
        <v>0.14281535381250965</v>
      </c>
    </row>
    <row r="38" spans="1:23" hidden="1" x14ac:dyDescent="0.2">
      <c r="B38" s="220">
        <v>0</v>
      </c>
      <c r="C38" s="183">
        <f>-C10+C18+C13+C34</f>
        <v>-2699314.3793103453</v>
      </c>
      <c r="D38" s="183">
        <f>-D10+D18+D13+D34</f>
        <v>-2644505.965517242</v>
      </c>
      <c r="E38" s="183">
        <f>-E10+E18+E13+E34</f>
        <v>-2644505.965517242</v>
      </c>
      <c r="F38" s="183">
        <f>-F10+F18+F13+F34</f>
        <v>-2644505.965517242</v>
      </c>
      <c r="G38" s="183">
        <f>-G10+G18+G13+G34</f>
        <v>-2699314.3793103453</v>
      </c>
      <c r="H38" s="196"/>
      <c r="I38" s="135"/>
      <c r="J38" s="143">
        <v>0</v>
      </c>
      <c r="K38" s="183">
        <f>-K10+K18+K13+K34</f>
        <v>-2429382.9413793106</v>
      </c>
      <c r="L38" s="183">
        <f>-L10+L18+L14+L34</f>
        <v>-2429382.9413793106</v>
      </c>
      <c r="M38" s="183">
        <f>-M10+M18+M14+M34</f>
        <v>-2429382.9413793106</v>
      </c>
      <c r="N38" s="183">
        <f>-N10+N18+N14+N34</f>
        <v>-2429382.9413793106</v>
      </c>
      <c r="O38" s="183">
        <f>-O10+O18+O13+O34</f>
        <v>-2429382.9413793106</v>
      </c>
      <c r="P38" s="140"/>
      <c r="Q38" s="140"/>
      <c r="R38" s="143">
        <v>0</v>
      </c>
      <c r="S38" s="183">
        <f>-S10+S13+S34</f>
        <v>-2818084.2120000003</v>
      </c>
      <c r="T38" s="183">
        <f>-T10+T13+T34</f>
        <v>-2818084.2120000003</v>
      </c>
      <c r="U38" s="183">
        <f>-U10+U13+U34</f>
        <v>-2818084.2120000003</v>
      </c>
      <c r="V38" s="183">
        <f>-V10+V13+V34</f>
        <v>-2818084.2120000003</v>
      </c>
      <c r="W38" s="183">
        <f>-W10+W13+W34</f>
        <v>-2818084.2120000003</v>
      </c>
    </row>
    <row r="39" spans="1:23" hidden="1" x14ac:dyDescent="0.2">
      <c r="B39" s="220">
        <v>1</v>
      </c>
      <c r="C39" s="183">
        <f t="shared" ref="C39:G48" si="0">+IF($B39&lt;=C$5-C$17,C$30,0)+ IF($B39=C$5,C$26,0)</f>
        <v>95239.368694506993</v>
      </c>
      <c r="D39" s="183">
        <f t="shared" si="0"/>
        <v>73702.235714330018</v>
      </c>
      <c r="E39" s="183">
        <f t="shared" si="0"/>
        <v>82421.384557207071</v>
      </c>
      <c r="F39" s="183">
        <f t="shared" si="0"/>
        <v>55977.94521814827</v>
      </c>
      <c r="G39" s="183">
        <f t="shared" si="0"/>
        <v>51370.238451216654</v>
      </c>
      <c r="H39" s="196"/>
      <c r="I39" s="135"/>
      <c r="J39" s="143">
        <v>1</v>
      </c>
      <c r="K39" s="183">
        <f t="shared" ref="K39:O48" si="1">+IF($B39&lt;=K$5-K$17,K$30,0)+ IF($B39=K$5,K$21,0)</f>
        <v>116677.73363441166</v>
      </c>
      <c r="L39" s="183">
        <f t="shared" si="1"/>
        <v>82805.363571820868</v>
      </c>
      <c r="M39" s="183">
        <f t="shared" si="1"/>
        <v>66166.762319021247</v>
      </c>
      <c r="N39" s="183">
        <f t="shared" si="1"/>
        <v>56497.188680643572</v>
      </c>
      <c r="O39" s="183">
        <f t="shared" si="1"/>
        <v>50426.204075025176</v>
      </c>
      <c r="P39" s="140"/>
      <c r="Q39" s="140"/>
      <c r="R39" s="143">
        <v>1</v>
      </c>
      <c r="S39" s="183">
        <f t="shared" ref="S39:W48" si="2">+IF($B39&lt;=S$5-S$17,S$30,0)+ IF($B39=S$5,S$21,0)</f>
        <v>135346.17101591753</v>
      </c>
      <c r="T39" s="183">
        <f t="shared" si="2"/>
        <v>96054.221743312213</v>
      </c>
      <c r="U39" s="183">
        <f t="shared" si="2"/>
        <v>76753.444290064654</v>
      </c>
      <c r="V39" s="183">
        <f t="shared" si="2"/>
        <v>65536.738869546549</v>
      </c>
      <c r="W39" s="183">
        <f t="shared" si="2"/>
        <v>58494.396727029212</v>
      </c>
    </row>
    <row r="40" spans="1:23" hidden="1" x14ac:dyDescent="0.2">
      <c r="B40" s="220">
        <v>2</v>
      </c>
      <c r="C40" s="183">
        <f t="shared" si="0"/>
        <v>95239.368694506993</v>
      </c>
      <c r="D40" s="183">
        <f t="shared" si="0"/>
        <v>73702.235714330018</v>
      </c>
      <c r="E40" s="183">
        <f t="shared" si="0"/>
        <v>82421.384557207071</v>
      </c>
      <c r="F40" s="183">
        <f t="shared" si="0"/>
        <v>55977.94521814827</v>
      </c>
      <c r="G40" s="183">
        <f t="shared" si="0"/>
        <v>51370.238451216654</v>
      </c>
      <c r="H40" s="196"/>
      <c r="I40" s="135"/>
      <c r="J40" s="143">
        <v>2</v>
      </c>
      <c r="K40" s="183">
        <f t="shared" si="1"/>
        <v>116677.73363441166</v>
      </c>
      <c r="L40" s="183">
        <f t="shared" si="1"/>
        <v>82805.363571820868</v>
      </c>
      <c r="M40" s="183">
        <f t="shared" si="1"/>
        <v>66166.762319021247</v>
      </c>
      <c r="N40" s="183">
        <f t="shared" si="1"/>
        <v>56497.188680643572</v>
      </c>
      <c r="O40" s="183">
        <f t="shared" si="1"/>
        <v>50426.204075025176</v>
      </c>
      <c r="P40" s="140"/>
      <c r="Q40" s="140"/>
      <c r="R40" s="143">
        <v>2</v>
      </c>
      <c r="S40" s="183">
        <f t="shared" si="2"/>
        <v>135346.17101591753</v>
      </c>
      <c r="T40" s="183">
        <f t="shared" si="2"/>
        <v>96054.221743312213</v>
      </c>
      <c r="U40" s="183">
        <f t="shared" si="2"/>
        <v>76753.444290064654</v>
      </c>
      <c r="V40" s="183">
        <f t="shared" si="2"/>
        <v>65536.738869546549</v>
      </c>
      <c r="W40" s="183">
        <f t="shared" si="2"/>
        <v>58494.396727029212</v>
      </c>
    </row>
    <row r="41" spans="1:23" hidden="1" x14ac:dyDescent="0.2">
      <c r="B41" s="220">
        <v>3</v>
      </c>
      <c r="C41" s="183">
        <f t="shared" si="0"/>
        <v>95239.368694506993</v>
      </c>
      <c r="D41" s="183">
        <f t="shared" si="0"/>
        <v>73702.235714330018</v>
      </c>
      <c r="E41" s="183">
        <f t="shared" si="0"/>
        <v>82421.384557207071</v>
      </c>
      <c r="F41" s="183">
        <f t="shared" si="0"/>
        <v>55977.94521814827</v>
      </c>
      <c r="G41" s="183">
        <f t="shared" si="0"/>
        <v>51370.238451216654</v>
      </c>
      <c r="H41" s="196"/>
      <c r="I41" s="135"/>
      <c r="J41" s="143">
        <v>3</v>
      </c>
      <c r="K41" s="183">
        <f t="shared" si="1"/>
        <v>116677.73363441166</v>
      </c>
      <c r="L41" s="183">
        <f t="shared" si="1"/>
        <v>82805.363571820868</v>
      </c>
      <c r="M41" s="183">
        <f t="shared" si="1"/>
        <v>66166.762319021247</v>
      </c>
      <c r="N41" s="183">
        <f t="shared" si="1"/>
        <v>56497.188680643572</v>
      </c>
      <c r="O41" s="183">
        <f t="shared" si="1"/>
        <v>50426.204075025176</v>
      </c>
      <c r="P41" s="140"/>
      <c r="Q41" s="140"/>
      <c r="R41" s="143">
        <v>3</v>
      </c>
      <c r="S41" s="183">
        <f t="shared" si="2"/>
        <v>135346.17101591753</v>
      </c>
      <c r="T41" s="183">
        <f t="shared" si="2"/>
        <v>96054.221743312213</v>
      </c>
      <c r="U41" s="183">
        <f t="shared" si="2"/>
        <v>76753.444290064654</v>
      </c>
      <c r="V41" s="183">
        <f t="shared" si="2"/>
        <v>65536.738869546549</v>
      </c>
      <c r="W41" s="183">
        <f t="shared" si="2"/>
        <v>58494.396727029212</v>
      </c>
    </row>
    <row r="42" spans="1:23" hidden="1" x14ac:dyDescent="0.2">
      <c r="B42" s="220">
        <v>4</v>
      </c>
      <c r="C42" s="183">
        <f t="shared" si="0"/>
        <v>95239.368694506993</v>
      </c>
      <c r="D42" s="183">
        <f t="shared" si="0"/>
        <v>73702.235714330018</v>
      </c>
      <c r="E42" s="183">
        <f t="shared" si="0"/>
        <v>82421.384557207071</v>
      </c>
      <c r="F42" s="183">
        <f t="shared" si="0"/>
        <v>55977.94521814827</v>
      </c>
      <c r="G42" s="183">
        <f t="shared" si="0"/>
        <v>51370.238451216654</v>
      </c>
      <c r="H42" s="196"/>
      <c r="I42" s="135"/>
      <c r="J42" s="143">
        <v>4</v>
      </c>
      <c r="K42" s="183">
        <f t="shared" si="1"/>
        <v>116677.73363441166</v>
      </c>
      <c r="L42" s="183">
        <f t="shared" si="1"/>
        <v>82805.363571820868</v>
      </c>
      <c r="M42" s="183">
        <f t="shared" si="1"/>
        <v>66166.762319021247</v>
      </c>
      <c r="N42" s="183">
        <f t="shared" si="1"/>
        <v>56497.188680643572</v>
      </c>
      <c r="O42" s="183">
        <f t="shared" si="1"/>
        <v>50426.204075025176</v>
      </c>
      <c r="P42" s="140"/>
      <c r="Q42" s="140"/>
      <c r="R42" s="143">
        <v>4</v>
      </c>
      <c r="S42" s="183">
        <f t="shared" si="2"/>
        <v>135346.17101591753</v>
      </c>
      <c r="T42" s="183">
        <f t="shared" si="2"/>
        <v>96054.221743312213</v>
      </c>
      <c r="U42" s="183">
        <f t="shared" si="2"/>
        <v>76753.444290064654</v>
      </c>
      <c r="V42" s="183">
        <f t="shared" si="2"/>
        <v>65536.738869546549</v>
      </c>
      <c r="W42" s="183">
        <f t="shared" si="2"/>
        <v>58494.396727029212</v>
      </c>
    </row>
    <row r="43" spans="1:23" hidden="1" x14ac:dyDescent="0.2">
      <c r="B43" s="220">
        <v>5</v>
      </c>
      <c r="C43" s="183">
        <f t="shared" si="0"/>
        <v>95239.368694506993</v>
      </c>
      <c r="D43" s="183">
        <f t="shared" si="0"/>
        <v>73702.235714330018</v>
      </c>
      <c r="E43" s="183">
        <f t="shared" si="0"/>
        <v>82421.384557207071</v>
      </c>
      <c r="F43" s="183">
        <f t="shared" si="0"/>
        <v>55977.94521814827</v>
      </c>
      <c r="G43" s="183">
        <f t="shared" si="0"/>
        <v>51370.238451216654</v>
      </c>
      <c r="H43" s="196"/>
      <c r="I43" s="135"/>
      <c r="J43" s="143">
        <v>5</v>
      </c>
      <c r="K43" s="183">
        <f t="shared" si="1"/>
        <v>116677.73363441166</v>
      </c>
      <c r="L43" s="183">
        <f t="shared" si="1"/>
        <v>82805.363571820868</v>
      </c>
      <c r="M43" s="183">
        <f t="shared" si="1"/>
        <v>66166.762319021247</v>
      </c>
      <c r="N43" s="183">
        <f t="shared" si="1"/>
        <v>56497.188680643572</v>
      </c>
      <c r="O43" s="183">
        <f t="shared" si="1"/>
        <v>50426.204075025176</v>
      </c>
      <c r="P43" s="140"/>
      <c r="Q43" s="140"/>
      <c r="R43" s="143">
        <v>5</v>
      </c>
      <c r="S43" s="183">
        <f t="shared" si="2"/>
        <v>135346.17101591753</v>
      </c>
      <c r="T43" s="183">
        <f t="shared" si="2"/>
        <v>96054.221743312213</v>
      </c>
      <c r="U43" s="183">
        <f t="shared" si="2"/>
        <v>76753.444290064654</v>
      </c>
      <c r="V43" s="183">
        <f t="shared" si="2"/>
        <v>65536.738869546549</v>
      </c>
      <c r="W43" s="183">
        <f t="shared" si="2"/>
        <v>58494.396727029212</v>
      </c>
    </row>
    <row r="44" spans="1:23" hidden="1" x14ac:dyDescent="0.2">
      <c r="B44" s="220">
        <v>6</v>
      </c>
      <c r="C44" s="183">
        <f t="shared" si="0"/>
        <v>95239.368694506993</v>
      </c>
      <c r="D44" s="183">
        <f t="shared" si="0"/>
        <v>73702.235714330018</v>
      </c>
      <c r="E44" s="183">
        <f t="shared" si="0"/>
        <v>82421.384557207071</v>
      </c>
      <c r="F44" s="183">
        <f t="shared" si="0"/>
        <v>55977.94521814827</v>
      </c>
      <c r="G44" s="183">
        <f t="shared" si="0"/>
        <v>51370.238451216654</v>
      </c>
      <c r="H44" s="196"/>
      <c r="I44" s="135"/>
      <c r="J44" s="143">
        <v>6</v>
      </c>
      <c r="K44" s="183">
        <f t="shared" si="1"/>
        <v>116677.73363441166</v>
      </c>
      <c r="L44" s="183">
        <f t="shared" si="1"/>
        <v>82805.363571820868</v>
      </c>
      <c r="M44" s="183">
        <f t="shared" si="1"/>
        <v>66166.762319021247</v>
      </c>
      <c r="N44" s="183">
        <f t="shared" si="1"/>
        <v>56497.188680643572</v>
      </c>
      <c r="O44" s="183">
        <f t="shared" si="1"/>
        <v>50426.204075025176</v>
      </c>
      <c r="P44" s="140"/>
      <c r="Q44" s="140"/>
      <c r="R44" s="143">
        <v>6</v>
      </c>
      <c r="S44" s="183">
        <f t="shared" si="2"/>
        <v>135346.17101591753</v>
      </c>
      <c r="T44" s="183">
        <f t="shared" si="2"/>
        <v>96054.221743312213</v>
      </c>
      <c r="U44" s="183">
        <f t="shared" si="2"/>
        <v>76753.444290064654</v>
      </c>
      <c r="V44" s="183">
        <f t="shared" si="2"/>
        <v>65536.738869546549</v>
      </c>
      <c r="W44" s="183">
        <f t="shared" si="2"/>
        <v>58494.396727029212</v>
      </c>
    </row>
    <row r="45" spans="1:23" hidden="1" x14ac:dyDescent="0.2">
      <c r="B45" s="220">
        <v>7</v>
      </c>
      <c r="C45" s="183">
        <f t="shared" si="0"/>
        <v>95239.368694506993</v>
      </c>
      <c r="D45" s="183">
        <f t="shared" si="0"/>
        <v>73702.235714330018</v>
      </c>
      <c r="E45" s="183">
        <f t="shared" si="0"/>
        <v>82421.384557207071</v>
      </c>
      <c r="F45" s="183">
        <f t="shared" si="0"/>
        <v>55977.94521814827</v>
      </c>
      <c r="G45" s="183">
        <f t="shared" si="0"/>
        <v>51370.238451216654</v>
      </c>
      <c r="H45" s="196"/>
      <c r="I45" s="135"/>
      <c r="J45" s="143">
        <v>7</v>
      </c>
      <c r="K45" s="183">
        <f t="shared" si="1"/>
        <v>116677.73363441166</v>
      </c>
      <c r="L45" s="183">
        <f t="shared" si="1"/>
        <v>82805.363571820868</v>
      </c>
      <c r="M45" s="183">
        <f t="shared" si="1"/>
        <v>66166.762319021247</v>
      </c>
      <c r="N45" s="183">
        <f t="shared" si="1"/>
        <v>56497.188680643572</v>
      </c>
      <c r="O45" s="183">
        <f t="shared" si="1"/>
        <v>50426.204075025176</v>
      </c>
      <c r="P45" s="140"/>
      <c r="Q45" s="140"/>
      <c r="R45" s="143">
        <v>7</v>
      </c>
      <c r="S45" s="183">
        <f t="shared" si="2"/>
        <v>135346.17101591753</v>
      </c>
      <c r="T45" s="183">
        <f t="shared" si="2"/>
        <v>96054.221743312213</v>
      </c>
      <c r="U45" s="183">
        <f t="shared" si="2"/>
        <v>76753.444290064654</v>
      </c>
      <c r="V45" s="183">
        <f t="shared" si="2"/>
        <v>65536.738869546549</v>
      </c>
      <c r="W45" s="183">
        <f t="shared" si="2"/>
        <v>58494.396727029212</v>
      </c>
    </row>
    <row r="46" spans="1:23" hidden="1" x14ac:dyDescent="0.2">
      <c r="B46" s="220">
        <v>8</v>
      </c>
      <c r="C46" s="183">
        <f t="shared" si="0"/>
        <v>95239.368694506993</v>
      </c>
      <c r="D46" s="183">
        <f t="shared" si="0"/>
        <v>73702.235714330018</v>
      </c>
      <c r="E46" s="183">
        <f t="shared" si="0"/>
        <v>82421.384557207071</v>
      </c>
      <c r="F46" s="183">
        <f t="shared" si="0"/>
        <v>55977.94521814827</v>
      </c>
      <c r="G46" s="183">
        <f t="shared" si="0"/>
        <v>51370.238451216654</v>
      </c>
      <c r="H46" s="196"/>
      <c r="I46" s="135"/>
      <c r="J46" s="143">
        <v>8</v>
      </c>
      <c r="K46" s="183">
        <f t="shared" si="1"/>
        <v>116677.73363441166</v>
      </c>
      <c r="L46" s="183">
        <f t="shared" si="1"/>
        <v>82805.363571820868</v>
      </c>
      <c r="M46" s="183">
        <f t="shared" si="1"/>
        <v>66166.762319021247</v>
      </c>
      <c r="N46" s="183">
        <f t="shared" si="1"/>
        <v>56497.188680643572</v>
      </c>
      <c r="O46" s="183">
        <f t="shared" si="1"/>
        <v>50426.204075025176</v>
      </c>
      <c r="P46" s="140"/>
      <c r="Q46" s="140"/>
      <c r="R46" s="143">
        <v>8</v>
      </c>
      <c r="S46" s="183">
        <f t="shared" si="2"/>
        <v>135346.17101591753</v>
      </c>
      <c r="T46" s="183">
        <f t="shared" si="2"/>
        <v>96054.221743312213</v>
      </c>
      <c r="U46" s="183">
        <f t="shared" si="2"/>
        <v>76753.444290064654</v>
      </c>
      <c r="V46" s="183">
        <f t="shared" si="2"/>
        <v>65536.738869546549</v>
      </c>
      <c r="W46" s="183">
        <f t="shared" si="2"/>
        <v>58494.396727029212</v>
      </c>
    </row>
    <row r="47" spans="1:23" hidden="1" x14ac:dyDescent="0.2">
      <c r="B47" s="220">
        <v>9</v>
      </c>
      <c r="C47" s="183">
        <f t="shared" si="0"/>
        <v>95239.368694506993</v>
      </c>
      <c r="D47" s="183">
        <f t="shared" si="0"/>
        <v>73702.235714330018</v>
      </c>
      <c r="E47" s="183">
        <f t="shared" si="0"/>
        <v>82421.384557207071</v>
      </c>
      <c r="F47" s="183">
        <f t="shared" si="0"/>
        <v>55977.94521814827</v>
      </c>
      <c r="G47" s="183">
        <f t="shared" si="0"/>
        <v>51370.238451216654</v>
      </c>
      <c r="H47" s="196"/>
      <c r="I47" s="135"/>
      <c r="J47" s="143">
        <v>9</v>
      </c>
      <c r="K47" s="183">
        <f t="shared" si="1"/>
        <v>116677.73363441166</v>
      </c>
      <c r="L47" s="183">
        <f t="shared" si="1"/>
        <v>82805.363571820868</v>
      </c>
      <c r="M47" s="183">
        <f t="shared" si="1"/>
        <v>66166.762319021247</v>
      </c>
      <c r="N47" s="183">
        <f t="shared" si="1"/>
        <v>56497.188680643572</v>
      </c>
      <c r="O47" s="183">
        <f t="shared" si="1"/>
        <v>50426.204075025176</v>
      </c>
      <c r="P47" s="140"/>
      <c r="Q47" s="140"/>
      <c r="R47" s="143">
        <v>9</v>
      </c>
      <c r="S47" s="183">
        <f t="shared" si="2"/>
        <v>135346.17101591753</v>
      </c>
      <c r="T47" s="183">
        <f t="shared" si="2"/>
        <v>96054.221743312213</v>
      </c>
      <c r="U47" s="183">
        <f t="shared" si="2"/>
        <v>76753.444290064654</v>
      </c>
      <c r="V47" s="183">
        <f t="shared" si="2"/>
        <v>65536.738869546549</v>
      </c>
      <c r="W47" s="183">
        <f t="shared" si="2"/>
        <v>58494.396727029212</v>
      </c>
    </row>
    <row r="48" spans="1:23" hidden="1" x14ac:dyDescent="0.2">
      <c r="B48" s="220">
        <v>10</v>
      </c>
      <c r="C48" s="183">
        <f t="shared" si="0"/>
        <v>95239.368694506993</v>
      </c>
      <c r="D48" s="183">
        <f t="shared" si="0"/>
        <v>73702.235714330018</v>
      </c>
      <c r="E48" s="183">
        <f t="shared" si="0"/>
        <v>82421.384557207071</v>
      </c>
      <c r="F48" s="183">
        <f t="shared" si="0"/>
        <v>55977.94521814827</v>
      </c>
      <c r="G48" s="183">
        <f t="shared" si="0"/>
        <v>51370.238451216654</v>
      </c>
      <c r="H48" s="196"/>
      <c r="I48" s="135"/>
      <c r="J48" s="143">
        <v>10</v>
      </c>
      <c r="K48" s="183">
        <f t="shared" si="1"/>
        <v>116677.73363441166</v>
      </c>
      <c r="L48" s="183">
        <f t="shared" si="1"/>
        <v>82805.363571820868</v>
      </c>
      <c r="M48" s="183">
        <f t="shared" si="1"/>
        <v>66166.762319021247</v>
      </c>
      <c r="N48" s="183">
        <f t="shared" si="1"/>
        <v>56497.188680643572</v>
      </c>
      <c r="O48" s="183">
        <f t="shared" si="1"/>
        <v>50426.204075025176</v>
      </c>
      <c r="P48" s="140"/>
      <c r="Q48" s="140"/>
      <c r="R48" s="143">
        <v>10</v>
      </c>
      <c r="S48" s="183">
        <f t="shared" si="2"/>
        <v>135346.17101591753</v>
      </c>
      <c r="T48" s="183">
        <f t="shared" si="2"/>
        <v>96054.221743312213</v>
      </c>
      <c r="U48" s="183">
        <f t="shared" si="2"/>
        <v>76753.444290064654</v>
      </c>
      <c r="V48" s="183">
        <f t="shared" si="2"/>
        <v>65536.738869546549</v>
      </c>
      <c r="W48" s="183">
        <f t="shared" si="2"/>
        <v>58494.396727029212</v>
      </c>
    </row>
    <row r="49" spans="2:23" hidden="1" x14ac:dyDescent="0.2">
      <c r="B49" s="220">
        <v>11</v>
      </c>
      <c r="C49" s="183">
        <f t="shared" ref="C49:G58" si="3">+IF($B49&lt;=C$5-C$17,C$30,0)+ IF($B49=C$5,C$26,0)</f>
        <v>95239.368694506993</v>
      </c>
      <c r="D49" s="183">
        <f t="shared" si="3"/>
        <v>73702.235714330018</v>
      </c>
      <c r="E49" s="183">
        <f t="shared" si="3"/>
        <v>82421.384557207071</v>
      </c>
      <c r="F49" s="183">
        <f t="shared" si="3"/>
        <v>55977.94521814827</v>
      </c>
      <c r="G49" s="183">
        <f t="shared" si="3"/>
        <v>51370.238451216654</v>
      </c>
      <c r="H49" s="196"/>
      <c r="I49" s="135"/>
      <c r="J49" s="143">
        <v>11</v>
      </c>
      <c r="K49" s="183">
        <f t="shared" ref="K49:O58" si="4">+IF($B49&lt;=K$5-K$17,K$30,0)+ IF($B49=K$5,K$21,0)</f>
        <v>116677.73363441166</v>
      </c>
      <c r="L49" s="183">
        <f t="shared" si="4"/>
        <v>82805.363571820868</v>
      </c>
      <c r="M49" s="183">
        <f t="shared" si="4"/>
        <v>66166.762319021247</v>
      </c>
      <c r="N49" s="183">
        <f t="shared" si="4"/>
        <v>56497.188680643572</v>
      </c>
      <c r="O49" s="183">
        <f t="shared" si="4"/>
        <v>50426.204075025176</v>
      </c>
      <c r="P49" s="140"/>
      <c r="Q49" s="140"/>
      <c r="R49" s="143">
        <v>11</v>
      </c>
      <c r="S49" s="183">
        <f t="shared" ref="S49:W58" si="5">+IF($B49&lt;=S$5-S$17,S$30,0)+ IF($B49=S$5,S$21,0)</f>
        <v>135346.17101591753</v>
      </c>
      <c r="T49" s="183">
        <f t="shared" si="5"/>
        <v>96054.221743312213</v>
      </c>
      <c r="U49" s="183">
        <f t="shared" si="5"/>
        <v>76753.444290064654</v>
      </c>
      <c r="V49" s="183">
        <f t="shared" si="5"/>
        <v>65536.738869546549</v>
      </c>
      <c r="W49" s="183">
        <f t="shared" si="5"/>
        <v>58494.396727029212</v>
      </c>
    </row>
    <row r="50" spans="2:23" hidden="1" x14ac:dyDescent="0.2">
      <c r="B50" s="220">
        <v>12</v>
      </c>
      <c r="C50" s="183">
        <f t="shared" si="3"/>
        <v>95239.368694506993</v>
      </c>
      <c r="D50" s="183">
        <f t="shared" si="3"/>
        <v>73702.235714330018</v>
      </c>
      <c r="E50" s="183">
        <f t="shared" si="3"/>
        <v>82421.384557207071</v>
      </c>
      <c r="F50" s="183">
        <f t="shared" si="3"/>
        <v>55977.94521814827</v>
      </c>
      <c r="G50" s="183">
        <f t="shared" si="3"/>
        <v>51370.238451216654</v>
      </c>
      <c r="H50" s="196"/>
      <c r="I50" s="135"/>
      <c r="J50" s="143">
        <v>12</v>
      </c>
      <c r="K50" s="183">
        <f t="shared" si="4"/>
        <v>116677.73363441166</v>
      </c>
      <c r="L50" s="183">
        <f t="shared" si="4"/>
        <v>82805.363571820868</v>
      </c>
      <c r="M50" s="183">
        <f t="shared" si="4"/>
        <v>66166.762319021247</v>
      </c>
      <c r="N50" s="183">
        <f t="shared" si="4"/>
        <v>56497.188680643572</v>
      </c>
      <c r="O50" s="183">
        <f t="shared" si="4"/>
        <v>50426.204075025176</v>
      </c>
      <c r="P50" s="140"/>
      <c r="Q50" s="140"/>
      <c r="R50" s="143">
        <v>12</v>
      </c>
      <c r="S50" s="183">
        <f t="shared" si="5"/>
        <v>135346.17101591753</v>
      </c>
      <c r="T50" s="183">
        <f t="shared" si="5"/>
        <v>96054.221743312213</v>
      </c>
      <c r="U50" s="183">
        <f t="shared" si="5"/>
        <v>76753.444290064654</v>
      </c>
      <c r="V50" s="183">
        <f t="shared" si="5"/>
        <v>65536.738869546549</v>
      </c>
      <c r="W50" s="183">
        <f t="shared" si="5"/>
        <v>58494.396727029212</v>
      </c>
    </row>
    <row r="51" spans="2:23" hidden="1" x14ac:dyDescent="0.2">
      <c r="B51" s="220">
        <v>13</v>
      </c>
      <c r="C51" s="183">
        <f t="shared" si="3"/>
        <v>95239.368694506993</v>
      </c>
      <c r="D51" s="183">
        <f t="shared" si="3"/>
        <v>73702.235714330018</v>
      </c>
      <c r="E51" s="183">
        <f t="shared" si="3"/>
        <v>82421.384557207071</v>
      </c>
      <c r="F51" s="183">
        <f t="shared" si="3"/>
        <v>55977.94521814827</v>
      </c>
      <c r="G51" s="183">
        <f t="shared" si="3"/>
        <v>51370.238451216654</v>
      </c>
      <c r="H51" s="196"/>
      <c r="I51" s="135"/>
      <c r="J51" s="143">
        <v>13</v>
      </c>
      <c r="K51" s="183">
        <f t="shared" si="4"/>
        <v>116677.73363441166</v>
      </c>
      <c r="L51" s="183">
        <f t="shared" si="4"/>
        <v>82805.363571820868</v>
      </c>
      <c r="M51" s="183">
        <f t="shared" si="4"/>
        <v>66166.762319021247</v>
      </c>
      <c r="N51" s="183">
        <f t="shared" si="4"/>
        <v>56497.188680643572</v>
      </c>
      <c r="O51" s="183">
        <f t="shared" si="4"/>
        <v>50426.204075025176</v>
      </c>
      <c r="P51" s="140"/>
      <c r="Q51" s="140"/>
      <c r="R51" s="143">
        <v>13</v>
      </c>
      <c r="S51" s="183">
        <f t="shared" si="5"/>
        <v>135346.17101591753</v>
      </c>
      <c r="T51" s="183">
        <f t="shared" si="5"/>
        <v>96054.221743312213</v>
      </c>
      <c r="U51" s="183">
        <f t="shared" si="5"/>
        <v>76753.444290064654</v>
      </c>
      <c r="V51" s="183">
        <f t="shared" si="5"/>
        <v>65536.738869546549</v>
      </c>
      <c r="W51" s="183">
        <f t="shared" si="5"/>
        <v>58494.396727029212</v>
      </c>
    </row>
    <row r="52" spans="2:23" hidden="1" x14ac:dyDescent="0.2">
      <c r="B52" s="220">
        <v>14</v>
      </c>
      <c r="C52" s="183">
        <f t="shared" si="3"/>
        <v>95239.368694506993</v>
      </c>
      <c r="D52" s="183">
        <f t="shared" si="3"/>
        <v>73702.235714330018</v>
      </c>
      <c r="E52" s="183">
        <f t="shared" si="3"/>
        <v>82421.384557207071</v>
      </c>
      <c r="F52" s="183">
        <f t="shared" si="3"/>
        <v>55977.94521814827</v>
      </c>
      <c r="G52" s="183">
        <f t="shared" si="3"/>
        <v>51370.238451216654</v>
      </c>
      <c r="H52" s="196"/>
      <c r="I52" s="135"/>
      <c r="J52" s="143">
        <v>14</v>
      </c>
      <c r="K52" s="183">
        <f t="shared" si="4"/>
        <v>116677.73363441166</v>
      </c>
      <c r="L52" s="183">
        <f t="shared" si="4"/>
        <v>82805.363571820868</v>
      </c>
      <c r="M52" s="183">
        <f t="shared" si="4"/>
        <v>66166.762319021247</v>
      </c>
      <c r="N52" s="183">
        <f t="shared" si="4"/>
        <v>56497.188680643572</v>
      </c>
      <c r="O52" s="183">
        <f t="shared" si="4"/>
        <v>50426.204075025176</v>
      </c>
      <c r="P52" s="140"/>
      <c r="Q52" s="140"/>
      <c r="R52" s="143">
        <v>14</v>
      </c>
      <c r="S52" s="183">
        <f t="shared" si="5"/>
        <v>135346.17101591753</v>
      </c>
      <c r="T52" s="183">
        <f t="shared" si="5"/>
        <v>96054.221743312213</v>
      </c>
      <c r="U52" s="183">
        <f t="shared" si="5"/>
        <v>76753.444290064654</v>
      </c>
      <c r="V52" s="183">
        <f t="shared" si="5"/>
        <v>65536.738869546549</v>
      </c>
      <c r="W52" s="183">
        <f t="shared" si="5"/>
        <v>58494.396727029212</v>
      </c>
    </row>
    <row r="53" spans="2:23" hidden="1" x14ac:dyDescent="0.2">
      <c r="B53" s="221">
        <v>15</v>
      </c>
      <c r="C53" s="183">
        <f t="shared" si="3"/>
        <v>95239.368694506993</v>
      </c>
      <c r="D53" s="183">
        <f t="shared" si="3"/>
        <v>73702.235714330018</v>
      </c>
      <c r="E53" s="183">
        <f t="shared" si="3"/>
        <v>82421.384557207071</v>
      </c>
      <c r="F53" s="183">
        <f t="shared" si="3"/>
        <v>55977.94521814827</v>
      </c>
      <c r="G53" s="183">
        <f t="shared" si="3"/>
        <v>51370.238451216654</v>
      </c>
      <c r="H53" s="196"/>
      <c r="I53" s="135"/>
      <c r="J53" s="144">
        <v>15</v>
      </c>
      <c r="K53" s="183">
        <f t="shared" si="4"/>
        <v>116677.73363441166</v>
      </c>
      <c r="L53" s="183">
        <f t="shared" si="4"/>
        <v>82805.363571820868</v>
      </c>
      <c r="M53" s="183">
        <f t="shared" si="4"/>
        <v>66166.762319021247</v>
      </c>
      <c r="N53" s="183">
        <f t="shared" si="4"/>
        <v>56497.188680643572</v>
      </c>
      <c r="O53" s="183">
        <f t="shared" si="4"/>
        <v>50426.204075025176</v>
      </c>
      <c r="P53" s="140"/>
      <c r="Q53" s="140"/>
      <c r="R53" s="144">
        <v>15</v>
      </c>
      <c r="S53" s="183">
        <f t="shared" si="5"/>
        <v>135346.17101591753</v>
      </c>
      <c r="T53" s="183">
        <f t="shared" si="5"/>
        <v>96054.221743312213</v>
      </c>
      <c r="U53" s="183">
        <f t="shared" si="5"/>
        <v>76753.444290064654</v>
      </c>
      <c r="V53" s="183">
        <f t="shared" si="5"/>
        <v>65536.738869546549</v>
      </c>
      <c r="W53" s="183">
        <f t="shared" si="5"/>
        <v>58494.396727029212</v>
      </c>
    </row>
    <row r="54" spans="2:23" hidden="1" x14ac:dyDescent="0.2">
      <c r="B54" s="220">
        <v>16</v>
      </c>
      <c r="C54" s="183">
        <f t="shared" si="3"/>
        <v>95239.368694506993</v>
      </c>
      <c r="D54" s="183">
        <f t="shared" si="3"/>
        <v>73702.235714330018</v>
      </c>
      <c r="E54" s="183">
        <f t="shared" si="3"/>
        <v>82421.384557207071</v>
      </c>
      <c r="F54" s="183">
        <f t="shared" si="3"/>
        <v>55977.94521814827</v>
      </c>
      <c r="G54" s="183">
        <f t="shared" si="3"/>
        <v>51370.238451216654</v>
      </c>
      <c r="H54" s="196"/>
      <c r="I54" s="135"/>
      <c r="J54" s="143">
        <v>16</v>
      </c>
      <c r="K54" s="183">
        <f t="shared" si="4"/>
        <v>116677.73363441166</v>
      </c>
      <c r="L54" s="183">
        <f t="shared" si="4"/>
        <v>82805.363571820868</v>
      </c>
      <c r="M54" s="183">
        <f t="shared" si="4"/>
        <v>66166.762319021247</v>
      </c>
      <c r="N54" s="183">
        <f t="shared" si="4"/>
        <v>56497.188680643572</v>
      </c>
      <c r="O54" s="183">
        <f t="shared" si="4"/>
        <v>50426.204075025176</v>
      </c>
      <c r="P54" s="140"/>
      <c r="Q54" s="140"/>
      <c r="R54" s="143">
        <v>16</v>
      </c>
      <c r="S54" s="183">
        <f t="shared" si="5"/>
        <v>135346.17101591753</v>
      </c>
      <c r="T54" s="183">
        <f t="shared" si="5"/>
        <v>96054.221743312213</v>
      </c>
      <c r="U54" s="183">
        <f t="shared" si="5"/>
        <v>76753.444290064654</v>
      </c>
      <c r="V54" s="183">
        <f t="shared" si="5"/>
        <v>65536.738869546549</v>
      </c>
      <c r="W54" s="183">
        <f t="shared" si="5"/>
        <v>58494.396727029212</v>
      </c>
    </row>
    <row r="55" spans="2:23" hidden="1" x14ac:dyDescent="0.2">
      <c r="B55" s="220">
        <v>17</v>
      </c>
      <c r="C55" s="183">
        <f t="shared" si="3"/>
        <v>95239.368694506993</v>
      </c>
      <c r="D55" s="183">
        <f t="shared" si="3"/>
        <v>73702.235714330018</v>
      </c>
      <c r="E55" s="183">
        <f t="shared" si="3"/>
        <v>82421.384557207071</v>
      </c>
      <c r="F55" s="183">
        <f t="shared" si="3"/>
        <v>55977.94521814827</v>
      </c>
      <c r="G55" s="183">
        <f t="shared" si="3"/>
        <v>51370.238451216654</v>
      </c>
      <c r="H55" s="196"/>
      <c r="I55" s="135"/>
      <c r="J55" s="143">
        <v>17</v>
      </c>
      <c r="K55" s="183">
        <f t="shared" si="4"/>
        <v>116677.73363441166</v>
      </c>
      <c r="L55" s="183">
        <f t="shared" si="4"/>
        <v>82805.363571820868</v>
      </c>
      <c r="M55" s="183">
        <f t="shared" si="4"/>
        <v>66166.762319021247</v>
      </c>
      <c r="N55" s="183">
        <f t="shared" si="4"/>
        <v>56497.188680643572</v>
      </c>
      <c r="O55" s="183">
        <f t="shared" si="4"/>
        <v>50426.204075025176</v>
      </c>
      <c r="P55" s="140"/>
      <c r="Q55" s="140"/>
      <c r="R55" s="143">
        <v>17</v>
      </c>
      <c r="S55" s="183">
        <f t="shared" si="5"/>
        <v>135346.17101591753</v>
      </c>
      <c r="T55" s="183">
        <f t="shared" si="5"/>
        <v>96054.221743312213</v>
      </c>
      <c r="U55" s="183">
        <f t="shared" si="5"/>
        <v>76753.444290064654</v>
      </c>
      <c r="V55" s="183">
        <f t="shared" si="5"/>
        <v>65536.738869546549</v>
      </c>
      <c r="W55" s="183">
        <f t="shared" si="5"/>
        <v>58494.396727029212</v>
      </c>
    </row>
    <row r="56" spans="2:23" hidden="1" x14ac:dyDescent="0.2">
      <c r="B56" s="220">
        <v>18</v>
      </c>
      <c r="C56" s="183">
        <f t="shared" si="3"/>
        <v>95239.368694506993</v>
      </c>
      <c r="D56" s="183">
        <f t="shared" si="3"/>
        <v>73702.235714330018</v>
      </c>
      <c r="E56" s="183">
        <f t="shared" si="3"/>
        <v>82421.384557207071</v>
      </c>
      <c r="F56" s="183">
        <f t="shared" si="3"/>
        <v>55977.94521814827</v>
      </c>
      <c r="G56" s="183">
        <f t="shared" si="3"/>
        <v>51370.238451216654</v>
      </c>
      <c r="H56" s="196"/>
      <c r="I56" s="135"/>
      <c r="J56" s="143">
        <v>18</v>
      </c>
      <c r="K56" s="183">
        <f t="shared" si="4"/>
        <v>116677.73363441166</v>
      </c>
      <c r="L56" s="183">
        <f t="shared" si="4"/>
        <v>82805.363571820868</v>
      </c>
      <c r="M56" s="183">
        <f t="shared" si="4"/>
        <v>66166.762319021247</v>
      </c>
      <c r="N56" s="183">
        <f t="shared" si="4"/>
        <v>56497.188680643572</v>
      </c>
      <c r="O56" s="183">
        <f t="shared" si="4"/>
        <v>50426.204075025176</v>
      </c>
      <c r="P56" s="140"/>
      <c r="Q56" s="140"/>
      <c r="R56" s="143">
        <v>18</v>
      </c>
      <c r="S56" s="183">
        <f t="shared" si="5"/>
        <v>135346.17101591753</v>
      </c>
      <c r="T56" s="183">
        <f t="shared" si="5"/>
        <v>96054.221743312213</v>
      </c>
      <c r="U56" s="183">
        <f t="shared" si="5"/>
        <v>76753.444290064654</v>
      </c>
      <c r="V56" s="183">
        <f t="shared" si="5"/>
        <v>65536.738869546549</v>
      </c>
      <c r="W56" s="183">
        <f t="shared" si="5"/>
        <v>58494.396727029212</v>
      </c>
    </row>
    <row r="57" spans="2:23" hidden="1" x14ac:dyDescent="0.2">
      <c r="B57" s="220">
        <v>19</v>
      </c>
      <c r="C57" s="183">
        <f t="shared" si="3"/>
        <v>95239.368694506993</v>
      </c>
      <c r="D57" s="183">
        <f t="shared" si="3"/>
        <v>73702.235714330018</v>
      </c>
      <c r="E57" s="183">
        <f t="shared" si="3"/>
        <v>82421.384557207071</v>
      </c>
      <c r="F57" s="183">
        <f t="shared" si="3"/>
        <v>55977.94521814827</v>
      </c>
      <c r="G57" s="183">
        <f t="shared" si="3"/>
        <v>51370.238451216654</v>
      </c>
      <c r="H57" s="196"/>
      <c r="I57" s="135"/>
      <c r="J57" s="143">
        <v>19</v>
      </c>
      <c r="K57" s="183">
        <f t="shared" si="4"/>
        <v>116677.73363441166</v>
      </c>
      <c r="L57" s="183">
        <f t="shared" si="4"/>
        <v>82805.363571820868</v>
      </c>
      <c r="M57" s="183">
        <f t="shared" si="4"/>
        <v>66166.762319021247</v>
      </c>
      <c r="N57" s="183">
        <f t="shared" si="4"/>
        <v>56497.188680643572</v>
      </c>
      <c r="O57" s="183">
        <f t="shared" si="4"/>
        <v>50426.204075025176</v>
      </c>
      <c r="P57" s="140"/>
      <c r="Q57" s="140"/>
      <c r="R57" s="143">
        <v>19</v>
      </c>
      <c r="S57" s="183">
        <f t="shared" si="5"/>
        <v>135346.17101591753</v>
      </c>
      <c r="T57" s="183">
        <f t="shared" si="5"/>
        <v>96054.221743312213</v>
      </c>
      <c r="U57" s="183">
        <f t="shared" si="5"/>
        <v>76753.444290064654</v>
      </c>
      <c r="V57" s="183">
        <f t="shared" si="5"/>
        <v>65536.738869546549</v>
      </c>
      <c r="W57" s="183">
        <f t="shared" si="5"/>
        <v>58494.396727029212</v>
      </c>
    </row>
    <row r="58" spans="2:23" hidden="1" x14ac:dyDescent="0.2">
      <c r="B58" s="220">
        <v>20</v>
      </c>
      <c r="C58" s="183">
        <f t="shared" si="3"/>
        <v>95239.368694506993</v>
      </c>
      <c r="D58" s="183">
        <f t="shared" si="3"/>
        <v>73702.235714330018</v>
      </c>
      <c r="E58" s="183">
        <f t="shared" si="3"/>
        <v>82421.384557207071</v>
      </c>
      <c r="F58" s="183">
        <f t="shared" si="3"/>
        <v>55977.94521814827</v>
      </c>
      <c r="G58" s="183">
        <f t="shared" si="3"/>
        <v>51370.238451216654</v>
      </c>
      <c r="H58" s="196"/>
      <c r="I58" s="135"/>
      <c r="J58" s="143">
        <v>20</v>
      </c>
      <c r="K58" s="183">
        <f t="shared" si="4"/>
        <v>116677.73363441166</v>
      </c>
      <c r="L58" s="183">
        <f t="shared" si="4"/>
        <v>82805.363571820868</v>
      </c>
      <c r="M58" s="183">
        <f t="shared" si="4"/>
        <v>66166.762319021247</v>
      </c>
      <c r="N58" s="183">
        <f t="shared" si="4"/>
        <v>56497.188680643572</v>
      </c>
      <c r="O58" s="183">
        <f t="shared" si="4"/>
        <v>50426.204075025176</v>
      </c>
      <c r="P58" s="140"/>
      <c r="Q58" s="140"/>
      <c r="R58" s="143">
        <v>20</v>
      </c>
      <c r="S58" s="183">
        <f t="shared" si="5"/>
        <v>135346.17101591753</v>
      </c>
      <c r="T58" s="183">
        <f t="shared" si="5"/>
        <v>96054.221743312213</v>
      </c>
      <c r="U58" s="183">
        <f t="shared" si="5"/>
        <v>76753.444290064654</v>
      </c>
      <c r="V58" s="183">
        <f t="shared" si="5"/>
        <v>65536.738869546549</v>
      </c>
      <c r="W58" s="183">
        <f t="shared" si="5"/>
        <v>58494.396727029212</v>
      </c>
    </row>
    <row r="59" spans="2:23" hidden="1" x14ac:dyDescent="0.2">
      <c r="B59" s="220">
        <v>21</v>
      </c>
      <c r="C59" s="183">
        <f t="shared" ref="C59:G68" si="6">+IF($B59&lt;=C$5-C$17,C$30,0)+ IF($B59=C$5,C$26,0)</f>
        <v>95239.368694506993</v>
      </c>
      <c r="D59" s="183">
        <f t="shared" si="6"/>
        <v>73702.235714330018</v>
      </c>
      <c r="E59" s="183">
        <f t="shared" si="6"/>
        <v>82421.384557207071</v>
      </c>
      <c r="F59" s="183">
        <f t="shared" si="6"/>
        <v>55977.94521814827</v>
      </c>
      <c r="G59" s="183">
        <f t="shared" si="6"/>
        <v>51370.238451216654</v>
      </c>
      <c r="H59" s="196"/>
      <c r="I59" s="135"/>
      <c r="J59" s="143">
        <v>21</v>
      </c>
      <c r="K59" s="183">
        <f t="shared" ref="K59:O68" si="7">+IF($B59&lt;=K$5-K$17,K$30,0)+ IF($B59=K$5,K$21,0)</f>
        <v>116677.73363441166</v>
      </c>
      <c r="L59" s="183">
        <f t="shared" si="7"/>
        <v>82805.363571820868</v>
      </c>
      <c r="M59" s="183">
        <f t="shared" si="7"/>
        <v>66166.762319021247</v>
      </c>
      <c r="N59" s="183">
        <f t="shared" si="7"/>
        <v>56497.188680643572</v>
      </c>
      <c r="O59" s="183">
        <f t="shared" si="7"/>
        <v>50426.204075025176</v>
      </c>
      <c r="P59" s="140"/>
      <c r="Q59" s="140"/>
      <c r="R59" s="143">
        <v>21</v>
      </c>
      <c r="S59" s="183">
        <f t="shared" ref="S59:W68" si="8">+IF($B59&lt;=S$5-S$17,S$30,0)+ IF($B59=S$5,S$21,0)</f>
        <v>135346.17101591753</v>
      </c>
      <c r="T59" s="183">
        <f t="shared" si="8"/>
        <v>96054.221743312213</v>
      </c>
      <c r="U59" s="183">
        <f t="shared" si="8"/>
        <v>76753.444290064654</v>
      </c>
      <c r="V59" s="183">
        <f t="shared" si="8"/>
        <v>65536.738869546549</v>
      </c>
      <c r="W59" s="183">
        <f t="shared" si="8"/>
        <v>58494.396727029212</v>
      </c>
    </row>
    <row r="60" spans="2:23" hidden="1" x14ac:dyDescent="0.2">
      <c r="B60" s="220">
        <v>22</v>
      </c>
      <c r="C60" s="183">
        <f t="shared" si="6"/>
        <v>95239.368694506993</v>
      </c>
      <c r="D60" s="183">
        <f t="shared" si="6"/>
        <v>73702.235714330018</v>
      </c>
      <c r="E60" s="183">
        <f t="shared" si="6"/>
        <v>82421.384557207071</v>
      </c>
      <c r="F60" s="183">
        <f t="shared" si="6"/>
        <v>55977.94521814827</v>
      </c>
      <c r="G60" s="183">
        <f t="shared" si="6"/>
        <v>51370.238451216654</v>
      </c>
      <c r="H60" s="196"/>
      <c r="I60" s="135"/>
      <c r="J60" s="143">
        <v>22</v>
      </c>
      <c r="K60" s="183">
        <f t="shared" si="7"/>
        <v>116677.73363441166</v>
      </c>
      <c r="L60" s="183">
        <f t="shared" si="7"/>
        <v>82805.363571820868</v>
      </c>
      <c r="M60" s="183">
        <f t="shared" si="7"/>
        <v>66166.762319021247</v>
      </c>
      <c r="N60" s="183">
        <f t="shared" si="7"/>
        <v>56497.188680643572</v>
      </c>
      <c r="O60" s="183">
        <f t="shared" si="7"/>
        <v>50426.204075025176</v>
      </c>
      <c r="P60" s="140"/>
      <c r="Q60" s="140"/>
      <c r="R60" s="143">
        <v>22</v>
      </c>
      <c r="S60" s="183">
        <f t="shared" si="8"/>
        <v>135346.17101591753</v>
      </c>
      <c r="T60" s="183">
        <f t="shared" si="8"/>
        <v>96054.221743312213</v>
      </c>
      <c r="U60" s="183">
        <f t="shared" si="8"/>
        <v>76753.444290064654</v>
      </c>
      <c r="V60" s="183">
        <f t="shared" si="8"/>
        <v>65536.738869546549</v>
      </c>
      <c r="W60" s="183">
        <f t="shared" si="8"/>
        <v>58494.396727029212</v>
      </c>
    </row>
    <row r="61" spans="2:23" hidden="1" x14ac:dyDescent="0.2">
      <c r="B61" s="220">
        <v>23</v>
      </c>
      <c r="C61" s="183">
        <f t="shared" si="6"/>
        <v>95239.368694506993</v>
      </c>
      <c r="D61" s="183">
        <f t="shared" si="6"/>
        <v>73702.235714330018</v>
      </c>
      <c r="E61" s="183">
        <f t="shared" si="6"/>
        <v>82421.384557207071</v>
      </c>
      <c r="F61" s="183">
        <f t="shared" si="6"/>
        <v>55977.94521814827</v>
      </c>
      <c r="G61" s="183">
        <f t="shared" si="6"/>
        <v>51370.238451216654</v>
      </c>
      <c r="H61" s="196"/>
      <c r="I61" s="135"/>
      <c r="J61" s="143">
        <v>23</v>
      </c>
      <c r="K61" s="183">
        <f t="shared" si="7"/>
        <v>116677.73363441166</v>
      </c>
      <c r="L61" s="183">
        <f t="shared" si="7"/>
        <v>82805.363571820868</v>
      </c>
      <c r="M61" s="183">
        <f t="shared" si="7"/>
        <v>66166.762319021247</v>
      </c>
      <c r="N61" s="183">
        <f t="shared" si="7"/>
        <v>56497.188680643572</v>
      </c>
      <c r="O61" s="183">
        <f t="shared" si="7"/>
        <v>50426.204075025176</v>
      </c>
      <c r="P61" s="140"/>
      <c r="Q61" s="140"/>
      <c r="R61" s="143">
        <v>23</v>
      </c>
      <c r="S61" s="183">
        <f t="shared" si="8"/>
        <v>135346.17101591753</v>
      </c>
      <c r="T61" s="183">
        <f t="shared" si="8"/>
        <v>96054.221743312213</v>
      </c>
      <c r="U61" s="183">
        <f t="shared" si="8"/>
        <v>76753.444290064654</v>
      </c>
      <c r="V61" s="183">
        <f t="shared" si="8"/>
        <v>65536.738869546549</v>
      </c>
      <c r="W61" s="183">
        <f t="shared" si="8"/>
        <v>58494.396727029212</v>
      </c>
    </row>
    <row r="62" spans="2:23" hidden="1" x14ac:dyDescent="0.2">
      <c r="B62" s="220">
        <v>24</v>
      </c>
      <c r="C62" s="183">
        <f t="shared" si="6"/>
        <v>1136599.2307634726</v>
      </c>
      <c r="D62" s="183">
        <f t="shared" si="6"/>
        <v>73702.235714330018</v>
      </c>
      <c r="E62" s="183">
        <f t="shared" si="6"/>
        <v>82421.384557207071</v>
      </c>
      <c r="F62" s="183">
        <f t="shared" si="6"/>
        <v>55977.94521814827</v>
      </c>
      <c r="G62" s="183">
        <f t="shared" si="6"/>
        <v>51370.238451216654</v>
      </c>
      <c r="H62" s="196"/>
      <c r="I62" s="135"/>
      <c r="J62" s="143">
        <v>24</v>
      </c>
      <c r="K62" s="183">
        <f t="shared" si="7"/>
        <v>144081.94053096339</v>
      </c>
      <c r="L62" s="183">
        <f t="shared" si="7"/>
        <v>82805.363571820868</v>
      </c>
      <c r="M62" s="183">
        <f t="shared" si="7"/>
        <v>66166.762319021247</v>
      </c>
      <c r="N62" s="183">
        <f t="shared" si="7"/>
        <v>56497.188680643572</v>
      </c>
      <c r="O62" s="183">
        <f t="shared" si="7"/>
        <v>50426.204075025176</v>
      </c>
      <c r="P62" s="140"/>
      <c r="Q62" s="140"/>
      <c r="R62" s="143">
        <v>24</v>
      </c>
      <c r="S62" s="183">
        <f t="shared" si="8"/>
        <v>135346.17101591753</v>
      </c>
      <c r="T62" s="183">
        <f t="shared" si="8"/>
        <v>96054.221743312213</v>
      </c>
      <c r="U62" s="183">
        <f t="shared" si="8"/>
        <v>76753.444290064654</v>
      </c>
      <c r="V62" s="183">
        <f t="shared" si="8"/>
        <v>65536.738869546549</v>
      </c>
      <c r="W62" s="183">
        <f t="shared" si="8"/>
        <v>58494.396727029212</v>
      </c>
    </row>
    <row r="63" spans="2:23" hidden="1" x14ac:dyDescent="0.2">
      <c r="B63" s="220">
        <v>25</v>
      </c>
      <c r="C63" s="183">
        <f t="shared" si="6"/>
        <v>0</v>
      </c>
      <c r="D63" s="183">
        <f t="shared" si="6"/>
        <v>73702.235714330018</v>
      </c>
      <c r="E63" s="183">
        <f t="shared" si="6"/>
        <v>82421.384557207071</v>
      </c>
      <c r="F63" s="183">
        <f t="shared" si="6"/>
        <v>55977.94521814827</v>
      </c>
      <c r="G63" s="183">
        <f t="shared" si="6"/>
        <v>51370.238451216654</v>
      </c>
      <c r="H63" s="196"/>
      <c r="I63" s="135"/>
      <c r="J63" s="143">
        <v>25</v>
      </c>
      <c r="K63" s="183">
        <f t="shared" si="7"/>
        <v>0</v>
      </c>
      <c r="L63" s="183">
        <f t="shared" si="7"/>
        <v>82805.363571820868</v>
      </c>
      <c r="M63" s="183">
        <f t="shared" si="7"/>
        <v>66166.762319021247</v>
      </c>
      <c r="N63" s="183">
        <f t="shared" si="7"/>
        <v>56497.188680643572</v>
      </c>
      <c r="O63" s="183">
        <f t="shared" si="7"/>
        <v>50426.204075025176</v>
      </c>
      <c r="P63" s="140"/>
      <c r="Q63" s="140"/>
      <c r="R63" s="143">
        <v>25</v>
      </c>
      <c r="S63" s="183">
        <f t="shared" si="8"/>
        <v>0</v>
      </c>
      <c r="T63" s="183">
        <f t="shared" si="8"/>
        <v>96054.221743312213</v>
      </c>
      <c r="U63" s="183">
        <f t="shared" si="8"/>
        <v>76753.444290064654</v>
      </c>
      <c r="V63" s="183">
        <f t="shared" si="8"/>
        <v>65536.738869546549</v>
      </c>
      <c r="W63" s="183">
        <f t="shared" si="8"/>
        <v>58494.396727029212</v>
      </c>
    </row>
    <row r="64" spans="2:23" hidden="1" x14ac:dyDescent="0.2">
      <c r="B64" s="220">
        <v>26</v>
      </c>
      <c r="C64" s="183">
        <f t="shared" si="6"/>
        <v>0</v>
      </c>
      <c r="D64" s="183">
        <f t="shared" si="6"/>
        <v>73702.235714330018</v>
      </c>
      <c r="E64" s="183">
        <f t="shared" si="6"/>
        <v>82421.384557207071</v>
      </c>
      <c r="F64" s="183">
        <f t="shared" si="6"/>
        <v>55977.94521814827</v>
      </c>
      <c r="G64" s="183">
        <f t="shared" si="6"/>
        <v>51370.238451216654</v>
      </c>
      <c r="H64" s="196"/>
      <c r="I64" s="135"/>
      <c r="J64" s="143">
        <v>26</v>
      </c>
      <c r="K64" s="183">
        <f t="shared" si="7"/>
        <v>0</v>
      </c>
      <c r="L64" s="183">
        <f t="shared" si="7"/>
        <v>82805.363571820868</v>
      </c>
      <c r="M64" s="183">
        <f t="shared" si="7"/>
        <v>66166.762319021247</v>
      </c>
      <c r="N64" s="183">
        <f t="shared" si="7"/>
        <v>56497.188680643572</v>
      </c>
      <c r="O64" s="183">
        <f t="shared" si="7"/>
        <v>50426.204075025176</v>
      </c>
      <c r="P64" s="140"/>
      <c r="Q64" s="140"/>
      <c r="R64" s="143">
        <v>26</v>
      </c>
      <c r="S64" s="183">
        <f t="shared" si="8"/>
        <v>0</v>
      </c>
      <c r="T64" s="183">
        <f t="shared" si="8"/>
        <v>96054.221743312213</v>
      </c>
      <c r="U64" s="183">
        <f t="shared" si="8"/>
        <v>76753.444290064654</v>
      </c>
      <c r="V64" s="183">
        <f t="shared" si="8"/>
        <v>65536.738869546549</v>
      </c>
      <c r="W64" s="183">
        <f t="shared" si="8"/>
        <v>58494.396727029212</v>
      </c>
    </row>
    <row r="65" spans="2:23" hidden="1" x14ac:dyDescent="0.2">
      <c r="B65" s="220">
        <v>27</v>
      </c>
      <c r="C65" s="183">
        <f t="shared" si="6"/>
        <v>0</v>
      </c>
      <c r="D65" s="183">
        <f t="shared" si="6"/>
        <v>73702.235714330018</v>
      </c>
      <c r="E65" s="183">
        <f t="shared" si="6"/>
        <v>82421.384557207071</v>
      </c>
      <c r="F65" s="183">
        <f t="shared" si="6"/>
        <v>55977.94521814827</v>
      </c>
      <c r="G65" s="183">
        <f t="shared" si="6"/>
        <v>51370.238451216654</v>
      </c>
      <c r="H65" s="196"/>
      <c r="I65" s="135"/>
      <c r="J65" s="143">
        <v>27</v>
      </c>
      <c r="K65" s="183">
        <f t="shared" si="7"/>
        <v>0</v>
      </c>
      <c r="L65" s="183">
        <f t="shared" si="7"/>
        <v>82805.363571820868</v>
      </c>
      <c r="M65" s="183">
        <f t="shared" si="7"/>
        <v>66166.762319021247</v>
      </c>
      <c r="N65" s="183">
        <f t="shared" si="7"/>
        <v>56497.188680643572</v>
      </c>
      <c r="O65" s="183">
        <f t="shared" si="7"/>
        <v>50426.204075025176</v>
      </c>
      <c r="P65" s="140"/>
      <c r="Q65" s="140"/>
      <c r="R65" s="143">
        <v>27</v>
      </c>
      <c r="S65" s="183">
        <f t="shared" si="8"/>
        <v>0</v>
      </c>
      <c r="T65" s="183">
        <f t="shared" si="8"/>
        <v>96054.221743312213</v>
      </c>
      <c r="U65" s="183">
        <f t="shared" si="8"/>
        <v>76753.444290064654</v>
      </c>
      <c r="V65" s="183">
        <f t="shared" si="8"/>
        <v>65536.738869546549</v>
      </c>
      <c r="W65" s="183">
        <f t="shared" si="8"/>
        <v>58494.396727029212</v>
      </c>
    </row>
    <row r="66" spans="2:23" hidden="1" x14ac:dyDescent="0.2">
      <c r="B66" s="220">
        <v>28</v>
      </c>
      <c r="C66" s="183">
        <f t="shared" si="6"/>
        <v>0</v>
      </c>
      <c r="D66" s="183">
        <f t="shared" si="6"/>
        <v>73702.235714330018</v>
      </c>
      <c r="E66" s="183">
        <f t="shared" si="6"/>
        <v>82421.384557207071</v>
      </c>
      <c r="F66" s="183">
        <f t="shared" si="6"/>
        <v>55977.94521814827</v>
      </c>
      <c r="G66" s="183">
        <f t="shared" si="6"/>
        <v>51370.238451216654</v>
      </c>
      <c r="H66" s="196"/>
      <c r="I66" s="135"/>
      <c r="J66" s="143">
        <v>28</v>
      </c>
      <c r="K66" s="183">
        <f t="shared" si="7"/>
        <v>0</v>
      </c>
      <c r="L66" s="183">
        <f t="shared" si="7"/>
        <v>82805.363571820868</v>
      </c>
      <c r="M66" s="183">
        <f t="shared" si="7"/>
        <v>66166.762319021247</v>
      </c>
      <c r="N66" s="183">
        <f t="shared" si="7"/>
        <v>56497.188680643572</v>
      </c>
      <c r="O66" s="183">
        <f t="shared" si="7"/>
        <v>50426.204075025176</v>
      </c>
      <c r="P66" s="140"/>
      <c r="Q66" s="140"/>
      <c r="R66" s="143">
        <v>28</v>
      </c>
      <c r="S66" s="183">
        <f t="shared" si="8"/>
        <v>0</v>
      </c>
      <c r="T66" s="183">
        <f t="shared" si="8"/>
        <v>96054.221743312213</v>
      </c>
      <c r="U66" s="183">
        <f t="shared" si="8"/>
        <v>76753.444290064654</v>
      </c>
      <c r="V66" s="183">
        <f t="shared" si="8"/>
        <v>65536.738869546549</v>
      </c>
      <c r="W66" s="183">
        <f t="shared" si="8"/>
        <v>58494.396727029212</v>
      </c>
    </row>
    <row r="67" spans="2:23" hidden="1" x14ac:dyDescent="0.2">
      <c r="B67" s="220">
        <v>29</v>
      </c>
      <c r="C67" s="183">
        <f t="shared" si="6"/>
        <v>0</v>
      </c>
      <c r="D67" s="183">
        <f t="shared" si="6"/>
        <v>73702.235714330018</v>
      </c>
      <c r="E67" s="183">
        <f t="shared" si="6"/>
        <v>82421.384557207071</v>
      </c>
      <c r="F67" s="183">
        <f t="shared" si="6"/>
        <v>55977.94521814827</v>
      </c>
      <c r="G67" s="183">
        <f t="shared" si="6"/>
        <v>51370.238451216654</v>
      </c>
      <c r="H67" s="196"/>
      <c r="I67" s="135"/>
      <c r="J67" s="143">
        <v>29</v>
      </c>
      <c r="K67" s="183">
        <f t="shared" si="7"/>
        <v>0</v>
      </c>
      <c r="L67" s="183">
        <f t="shared" si="7"/>
        <v>82805.363571820868</v>
      </c>
      <c r="M67" s="183">
        <f t="shared" si="7"/>
        <v>66166.762319021247</v>
      </c>
      <c r="N67" s="183">
        <f t="shared" si="7"/>
        <v>56497.188680643572</v>
      </c>
      <c r="O67" s="183">
        <f t="shared" si="7"/>
        <v>50426.204075025176</v>
      </c>
      <c r="P67" s="140"/>
      <c r="Q67" s="140"/>
      <c r="R67" s="143">
        <v>29</v>
      </c>
      <c r="S67" s="183">
        <f t="shared" si="8"/>
        <v>0</v>
      </c>
      <c r="T67" s="183">
        <f t="shared" si="8"/>
        <v>96054.221743312213</v>
      </c>
      <c r="U67" s="183">
        <f t="shared" si="8"/>
        <v>76753.444290064654</v>
      </c>
      <c r="V67" s="183">
        <f t="shared" si="8"/>
        <v>65536.738869546549</v>
      </c>
      <c r="W67" s="183">
        <f t="shared" si="8"/>
        <v>58494.396727029212</v>
      </c>
    </row>
    <row r="68" spans="2:23" hidden="1" x14ac:dyDescent="0.2">
      <c r="B68" s="220">
        <v>30</v>
      </c>
      <c r="C68" s="183">
        <f t="shared" si="6"/>
        <v>0</v>
      </c>
      <c r="D68" s="183">
        <f t="shared" si="6"/>
        <v>73702.235714330018</v>
      </c>
      <c r="E68" s="183">
        <f t="shared" si="6"/>
        <v>82421.384557207071</v>
      </c>
      <c r="F68" s="183">
        <f t="shared" si="6"/>
        <v>55977.94521814827</v>
      </c>
      <c r="G68" s="183">
        <f t="shared" si="6"/>
        <v>51370.238451216654</v>
      </c>
      <c r="H68" s="196"/>
      <c r="I68" s="135"/>
      <c r="J68" s="143">
        <v>30</v>
      </c>
      <c r="K68" s="183">
        <f t="shared" si="7"/>
        <v>0</v>
      </c>
      <c r="L68" s="183">
        <f t="shared" si="7"/>
        <v>82805.363571820868</v>
      </c>
      <c r="M68" s="183">
        <f t="shared" si="7"/>
        <v>66166.762319021247</v>
      </c>
      <c r="N68" s="183">
        <f t="shared" si="7"/>
        <v>56497.188680643572</v>
      </c>
      <c r="O68" s="183">
        <f t="shared" si="7"/>
        <v>50426.204075025176</v>
      </c>
      <c r="P68" s="140"/>
      <c r="Q68" s="140"/>
      <c r="R68" s="143">
        <v>30</v>
      </c>
      <c r="S68" s="183">
        <f t="shared" si="8"/>
        <v>0</v>
      </c>
      <c r="T68" s="183">
        <f t="shared" si="8"/>
        <v>96054.221743312213</v>
      </c>
      <c r="U68" s="183">
        <f t="shared" si="8"/>
        <v>76753.444290064654</v>
      </c>
      <c r="V68" s="183">
        <f t="shared" si="8"/>
        <v>65536.738869546549</v>
      </c>
      <c r="W68" s="183">
        <f t="shared" si="8"/>
        <v>58494.396727029212</v>
      </c>
    </row>
    <row r="69" spans="2:23" hidden="1" x14ac:dyDescent="0.2">
      <c r="B69" s="220">
        <v>31</v>
      </c>
      <c r="C69" s="183">
        <f t="shared" ref="C69:G78" si="9">+IF($B69&lt;=C$5-C$17,C$30,0)+ IF($B69=C$5,C$26,0)</f>
        <v>0</v>
      </c>
      <c r="D69" s="183">
        <f t="shared" si="9"/>
        <v>73702.235714330018</v>
      </c>
      <c r="E69" s="183">
        <f t="shared" si="9"/>
        <v>82421.384557207071</v>
      </c>
      <c r="F69" s="183">
        <f t="shared" si="9"/>
        <v>55977.94521814827</v>
      </c>
      <c r="G69" s="183">
        <f t="shared" si="9"/>
        <v>51370.238451216654</v>
      </c>
      <c r="H69" s="196"/>
      <c r="I69" s="135"/>
      <c r="J69" s="143">
        <v>31</v>
      </c>
      <c r="K69" s="183">
        <f t="shared" ref="K69:O78" si="10">+IF($B69&lt;=K$5-K$17,K$30,0)+ IF($B69=K$5,K$21,0)</f>
        <v>0</v>
      </c>
      <c r="L69" s="183">
        <f t="shared" si="10"/>
        <v>82805.363571820868</v>
      </c>
      <c r="M69" s="183">
        <f t="shared" si="10"/>
        <v>66166.762319021247</v>
      </c>
      <c r="N69" s="183">
        <f t="shared" si="10"/>
        <v>56497.188680643572</v>
      </c>
      <c r="O69" s="183">
        <f t="shared" si="10"/>
        <v>50426.204075025176</v>
      </c>
      <c r="P69" s="140"/>
      <c r="Q69" s="140"/>
      <c r="R69" s="143">
        <v>31</v>
      </c>
      <c r="S69" s="183">
        <f t="shared" ref="S69:W78" si="11">+IF($B69&lt;=S$5-S$17,S$30,0)+ IF($B69=S$5,S$21,0)</f>
        <v>0</v>
      </c>
      <c r="T69" s="183">
        <f t="shared" si="11"/>
        <v>96054.221743312213</v>
      </c>
      <c r="U69" s="183">
        <f t="shared" si="11"/>
        <v>76753.444290064654</v>
      </c>
      <c r="V69" s="183">
        <f t="shared" si="11"/>
        <v>65536.738869546549</v>
      </c>
      <c r="W69" s="183">
        <f t="shared" si="11"/>
        <v>58494.396727029212</v>
      </c>
    </row>
    <row r="70" spans="2:23" hidden="1" x14ac:dyDescent="0.2">
      <c r="B70" s="220">
        <v>32</v>
      </c>
      <c r="C70" s="183">
        <f t="shared" si="9"/>
        <v>0</v>
      </c>
      <c r="D70" s="183">
        <f t="shared" si="9"/>
        <v>73702.235714330018</v>
      </c>
      <c r="E70" s="183">
        <f t="shared" si="9"/>
        <v>82421.384557207071</v>
      </c>
      <c r="F70" s="183">
        <f t="shared" si="9"/>
        <v>55977.94521814827</v>
      </c>
      <c r="G70" s="183">
        <f t="shared" si="9"/>
        <v>51370.238451216654</v>
      </c>
      <c r="H70" s="196"/>
      <c r="I70" s="135"/>
      <c r="J70" s="143">
        <v>32</v>
      </c>
      <c r="K70" s="183">
        <f t="shared" si="10"/>
        <v>0</v>
      </c>
      <c r="L70" s="183">
        <f t="shared" si="10"/>
        <v>82805.363571820868</v>
      </c>
      <c r="M70" s="183">
        <f t="shared" si="10"/>
        <v>66166.762319021247</v>
      </c>
      <c r="N70" s="183">
        <f t="shared" si="10"/>
        <v>56497.188680643572</v>
      </c>
      <c r="O70" s="183">
        <f t="shared" si="10"/>
        <v>50426.204075025176</v>
      </c>
      <c r="P70" s="140"/>
      <c r="Q70" s="140"/>
      <c r="R70" s="143">
        <v>32</v>
      </c>
      <c r="S70" s="183">
        <f t="shared" si="11"/>
        <v>0</v>
      </c>
      <c r="T70" s="183">
        <f t="shared" si="11"/>
        <v>96054.221743312213</v>
      </c>
      <c r="U70" s="183">
        <f t="shared" si="11"/>
        <v>76753.444290064654</v>
      </c>
      <c r="V70" s="183">
        <f t="shared" si="11"/>
        <v>65536.738869546549</v>
      </c>
      <c r="W70" s="183">
        <f t="shared" si="11"/>
        <v>58494.396727029212</v>
      </c>
    </row>
    <row r="71" spans="2:23" hidden="1" x14ac:dyDescent="0.2">
      <c r="B71" s="220">
        <v>33</v>
      </c>
      <c r="C71" s="183">
        <f t="shared" si="9"/>
        <v>0</v>
      </c>
      <c r="D71" s="183">
        <f t="shared" si="9"/>
        <v>73702.235714330018</v>
      </c>
      <c r="E71" s="183">
        <f t="shared" si="9"/>
        <v>82421.384557207071</v>
      </c>
      <c r="F71" s="183">
        <f t="shared" si="9"/>
        <v>55977.94521814827</v>
      </c>
      <c r="G71" s="183">
        <f t="shared" si="9"/>
        <v>51370.238451216654</v>
      </c>
      <c r="H71" s="196"/>
      <c r="I71" s="135"/>
      <c r="J71" s="143">
        <v>33</v>
      </c>
      <c r="K71" s="183">
        <f t="shared" si="10"/>
        <v>0</v>
      </c>
      <c r="L71" s="183">
        <f t="shared" si="10"/>
        <v>82805.363571820868</v>
      </c>
      <c r="M71" s="183">
        <f t="shared" si="10"/>
        <v>66166.762319021247</v>
      </c>
      <c r="N71" s="183">
        <f t="shared" si="10"/>
        <v>56497.188680643572</v>
      </c>
      <c r="O71" s="183">
        <f t="shared" si="10"/>
        <v>50426.204075025176</v>
      </c>
      <c r="P71" s="140"/>
      <c r="Q71" s="140"/>
      <c r="R71" s="143">
        <v>33</v>
      </c>
      <c r="S71" s="183">
        <f t="shared" si="11"/>
        <v>0</v>
      </c>
      <c r="T71" s="183">
        <f t="shared" si="11"/>
        <v>96054.221743312213</v>
      </c>
      <c r="U71" s="183">
        <f t="shared" si="11"/>
        <v>76753.444290064654</v>
      </c>
      <c r="V71" s="183">
        <f t="shared" si="11"/>
        <v>65536.738869546549</v>
      </c>
      <c r="W71" s="183">
        <f t="shared" si="11"/>
        <v>58494.396727029212</v>
      </c>
    </row>
    <row r="72" spans="2:23" hidden="1" x14ac:dyDescent="0.2">
      <c r="B72" s="220">
        <v>34</v>
      </c>
      <c r="C72" s="183">
        <f t="shared" si="9"/>
        <v>0</v>
      </c>
      <c r="D72" s="183">
        <f t="shared" si="9"/>
        <v>73702.235714330018</v>
      </c>
      <c r="E72" s="183">
        <f t="shared" si="9"/>
        <v>82421.384557207071</v>
      </c>
      <c r="F72" s="183">
        <f t="shared" si="9"/>
        <v>55977.94521814827</v>
      </c>
      <c r="G72" s="183">
        <f t="shared" si="9"/>
        <v>51370.238451216654</v>
      </c>
      <c r="H72" s="196"/>
      <c r="I72" s="135"/>
      <c r="J72" s="143">
        <v>34</v>
      </c>
      <c r="K72" s="183">
        <f t="shared" si="10"/>
        <v>0</v>
      </c>
      <c r="L72" s="183">
        <f t="shared" si="10"/>
        <v>82805.363571820868</v>
      </c>
      <c r="M72" s="183">
        <f t="shared" si="10"/>
        <v>66166.762319021247</v>
      </c>
      <c r="N72" s="183">
        <f t="shared" si="10"/>
        <v>56497.188680643572</v>
      </c>
      <c r="O72" s="183">
        <f t="shared" si="10"/>
        <v>50426.204075025176</v>
      </c>
      <c r="P72" s="140"/>
      <c r="Q72" s="140"/>
      <c r="R72" s="143">
        <v>34</v>
      </c>
      <c r="S72" s="183">
        <f t="shared" si="11"/>
        <v>0</v>
      </c>
      <c r="T72" s="183">
        <f t="shared" si="11"/>
        <v>96054.221743312213</v>
      </c>
      <c r="U72" s="183">
        <f t="shared" si="11"/>
        <v>76753.444290064654</v>
      </c>
      <c r="V72" s="183">
        <f t="shared" si="11"/>
        <v>65536.738869546549</v>
      </c>
      <c r="W72" s="183">
        <f t="shared" si="11"/>
        <v>58494.396727029212</v>
      </c>
    </row>
    <row r="73" spans="2:23" hidden="1" x14ac:dyDescent="0.2">
      <c r="B73" s="220">
        <v>35</v>
      </c>
      <c r="C73" s="183">
        <f t="shared" si="9"/>
        <v>0</v>
      </c>
      <c r="D73" s="183">
        <f t="shared" si="9"/>
        <v>73702.235714330018</v>
      </c>
      <c r="E73" s="183">
        <f t="shared" si="9"/>
        <v>82421.384557207071</v>
      </c>
      <c r="F73" s="183">
        <f t="shared" si="9"/>
        <v>55977.94521814827</v>
      </c>
      <c r="G73" s="183">
        <f t="shared" si="9"/>
        <v>51370.238451216654</v>
      </c>
      <c r="H73" s="196"/>
      <c r="I73" s="135"/>
      <c r="J73" s="143">
        <v>35</v>
      </c>
      <c r="K73" s="183">
        <f t="shared" si="10"/>
        <v>0</v>
      </c>
      <c r="L73" s="183">
        <f t="shared" si="10"/>
        <v>82805.363571820868</v>
      </c>
      <c r="M73" s="183">
        <f t="shared" si="10"/>
        <v>66166.762319021247</v>
      </c>
      <c r="N73" s="183">
        <f t="shared" si="10"/>
        <v>56497.188680643572</v>
      </c>
      <c r="O73" s="183">
        <f t="shared" si="10"/>
        <v>50426.204075025176</v>
      </c>
      <c r="P73" s="140"/>
      <c r="Q73" s="140"/>
      <c r="R73" s="143">
        <v>35</v>
      </c>
      <c r="S73" s="183">
        <f t="shared" si="11"/>
        <v>0</v>
      </c>
      <c r="T73" s="183">
        <f t="shared" si="11"/>
        <v>96054.221743312213</v>
      </c>
      <c r="U73" s="183">
        <f t="shared" si="11"/>
        <v>76753.444290064654</v>
      </c>
      <c r="V73" s="183">
        <f t="shared" si="11"/>
        <v>65536.738869546549</v>
      </c>
      <c r="W73" s="183">
        <f t="shared" si="11"/>
        <v>58494.396727029212</v>
      </c>
    </row>
    <row r="74" spans="2:23" hidden="1" x14ac:dyDescent="0.2">
      <c r="B74" s="220">
        <v>36</v>
      </c>
      <c r="C74" s="183">
        <f t="shared" si="9"/>
        <v>0</v>
      </c>
      <c r="D74" s="183">
        <f t="shared" si="9"/>
        <v>978041.06330053683</v>
      </c>
      <c r="E74" s="183">
        <f t="shared" si="9"/>
        <v>82421.384557207071</v>
      </c>
      <c r="F74" s="183">
        <f t="shared" si="9"/>
        <v>55977.94521814827</v>
      </c>
      <c r="G74" s="183">
        <f t="shared" si="9"/>
        <v>51370.238451216654</v>
      </c>
      <c r="H74" s="196"/>
      <c r="I74" s="135"/>
      <c r="J74" s="143">
        <v>36</v>
      </c>
      <c r="K74" s="183">
        <f t="shared" si="10"/>
        <v>0</v>
      </c>
      <c r="L74" s="183">
        <f t="shared" si="10"/>
        <v>110209.57046837259</v>
      </c>
      <c r="M74" s="183">
        <f t="shared" si="10"/>
        <v>66166.762319021247</v>
      </c>
      <c r="N74" s="183">
        <f t="shared" si="10"/>
        <v>56497.188680643572</v>
      </c>
      <c r="O74" s="183">
        <f t="shared" si="10"/>
        <v>50426.204075025176</v>
      </c>
      <c r="P74" s="140"/>
      <c r="Q74" s="140"/>
      <c r="R74" s="143">
        <v>36</v>
      </c>
      <c r="S74" s="183">
        <f t="shared" si="11"/>
        <v>0</v>
      </c>
      <c r="T74" s="183">
        <f t="shared" si="11"/>
        <v>96054.221743312213</v>
      </c>
      <c r="U74" s="183">
        <f t="shared" si="11"/>
        <v>76753.444290064654</v>
      </c>
      <c r="V74" s="183">
        <f t="shared" si="11"/>
        <v>65536.738869546549</v>
      </c>
      <c r="W74" s="183">
        <f t="shared" si="11"/>
        <v>58494.396727029212</v>
      </c>
    </row>
    <row r="75" spans="2:23" hidden="1" x14ac:dyDescent="0.2">
      <c r="B75" s="220">
        <v>37</v>
      </c>
      <c r="C75" s="183">
        <f t="shared" si="9"/>
        <v>0</v>
      </c>
      <c r="D75" s="183">
        <f t="shared" si="9"/>
        <v>0</v>
      </c>
      <c r="E75" s="183">
        <f t="shared" si="9"/>
        <v>82421.384557207071</v>
      </c>
      <c r="F75" s="183">
        <f t="shared" si="9"/>
        <v>55977.94521814827</v>
      </c>
      <c r="G75" s="183">
        <f t="shared" si="9"/>
        <v>51370.238451216654</v>
      </c>
      <c r="H75" s="196"/>
      <c r="I75" s="135"/>
      <c r="J75" s="143">
        <v>37</v>
      </c>
      <c r="K75" s="183">
        <f t="shared" si="10"/>
        <v>0</v>
      </c>
      <c r="L75" s="183">
        <f t="shared" si="10"/>
        <v>0</v>
      </c>
      <c r="M75" s="183">
        <f t="shared" si="10"/>
        <v>66166.762319021247</v>
      </c>
      <c r="N75" s="183">
        <f t="shared" si="10"/>
        <v>56497.188680643572</v>
      </c>
      <c r="O75" s="183">
        <f t="shared" si="10"/>
        <v>50426.204075025176</v>
      </c>
      <c r="P75" s="140"/>
      <c r="Q75" s="140"/>
      <c r="R75" s="143">
        <v>37</v>
      </c>
      <c r="S75" s="183">
        <f t="shared" si="11"/>
        <v>0</v>
      </c>
      <c r="T75" s="183">
        <f t="shared" si="11"/>
        <v>0</v>
      </c>
      <c r="U75" s="183">
        <f t="shared" si="11"/>
        <v>76753.444290064654</v>
      </c>
      <c r="V75" s="183">
        <f t="shared" si="11"/>
        <v>65536.738869546549</v>
      </c>
      <c r="W75" s="183">
        <f t="shared" si="11"/>
        <v>58494.396727029212</v>
      </c>
    </row>
    <row r="76" spans="2:23" hidden="1" x14ac:dyDescent="0.2">
      <c r="B76" s="220">
        <v>38</v>
      </c>
      <c r="C76" s="183">
        <f t="shared" si="9"/>
        <v>0</v>
      </c>
      <c r="D76" s="183">
        <f t="shared" si="9"/>
        <v>0</v>
      </c>
      <c r="E76" s="183">
        <f t="shared" si="9"/>
        <v>82421.384557207071</v>
      </c>
      <c r="F76" s="183">
        <f t="shared" si="9"/>
        <v>55977.94521814827</v>
      </c>
      <c r="G76" s="183">
        <f t="shared" si="9"/>
        <v>51370.238451216654</v>
      </c>
      <c r="H76" s="196"/>
      <c r="I76" s="135"/>
      <c r="J76" s="143">
        <v>38</v>
      </c>
      <c r="K76" s="183">
        <f t="shared" si="10"/>
        <v>0</v>
      </c>
      <c r="L76" s="183">
        <f t="shared" si="10"/>
        <v>0</v>
      </c>
      <c r="M76" s="183">
        <f t="shared" si="10"/>
        <v>66166.762319021247</v>
      </c>
      <c r="N76" s="183">
        <f t="shared" si="10"/>
        <v>56497.188680643572</v>
      </c>
      <c r="O76" s="183">
        <f t="shared" si="10"/>
        <v>50426.204075025176</v>
      </c>
      <c r="P76" s="140"/>
      <c r="Q76" s="140"/>
      <c r="R76" s="143">
        <v>38</v>
      </c>
      <c r="S76" s="183">
        <f t="shared" si="11"/>
        <v>0</v>
      </c>
      <c r="T76" s="183">
        <f t="shared" si="11"/>
        <v>0</v>
      </c>
      <c r="U76" s="183">
        <f t="shared" si="11"/>
        <v>76753.444290064654</v>
      </c>
      <c r="V76" s="183">
        <f t="shared" si="11"/>
        <v>65536.738869546549</v>
      </c>
      <c r="W76" s="183">
        <f t="shared" si="11"/>
        <v>58494.396727029212</v>
      </c>
    </row>
    <row r="77" spans="2:23" hidden="1" x14ac:dyDescent="0.2">
      <c r="B77" s="220">
        <v>39</v>
      </c>
      <c r="C77" s="183">
        <f t="shared" si="9"/>
        <v>0</v>
      </c>
      <c r="D77" s="183">
        <f t="shared" si="9"/>
        <v>0</v>
      </c>
      <c r="E77" s="183">
        <f t="shared" si="9"/>
        <v>82421.384557207071</v>
      </c>
      <c r="F77" s="183">
        <f t="shared" si="9"/>
        <v>55977.94521814827</v>
      </c>
      <c r="G77" s="183">
        <f t="shared" si="9"/>
        <v>51370.238451216654</v>
      </c>
      <c r="H77" s="196"/>
      <c r="I77" s="135"/>
      <c r="J77" s="143">
        <v>39</v>
      </c>
      <c r="K77" s="183">
        <f t="shared" si="10"/>
        <v>0</v>
      </c>
      <c r="L77" s="183">
        <f t="shared" si="10"/>
        <v>0</v>
      </c>
      <c r="M77" s="183">
        <f t="shared" si="10"/>
        <v>66166.762319021247</v>
      </c>
      <c r="N77" s="183">
        <f t="shared" si="10"/>
        <v>56497.188680643572</v>
      </c>
      <c r="O77" s="183">
        <f t="shared" si="10"/>
        <v>50426.204075025176</v>
      </c>
      <c r="P77" s="140"/>
      <c r="Q77" s="140"/>
      <c r="R77" s="143">
        <v>39</v>
      </c>
      <c r="S77" s="183">
        <f t="shared" si="11"/>
        <v>0</v>
      </c>
      <c r="T77" s="183">
        <f t="shared" si="11"/>
        <v>0</v>
      </c>
      <c r="U77" s="183">
        <f t="shared" si="11"/>
        <v>76753.444290064654</v>
      </c>
      <c r="V77" s="183">
        <f t="shared" si="11"/>
        <v>65536.738869546549</v>
      </c>
      <c r="W77" s="183">
        <f t="shared" si="11"/>
        <v>58494.396727029212</v>
      </c>
    </row>
    <row r="78" spans="2:23" hidden="1" x14ac:dyDescent="0.2">
      <c r="B78" s="220">
        <v>40</v>
      </c>
      <c r="C78" s="183">
        <f t="shared" si="9"/>
        <v>0</v>
      </c>
      <c r="D78" s="183">
        <f t="shared" si="9"/>
        <v>0</v>
      </c>
      <c r="E78" s="183">
        <f t="shared" si="9"/>
        <v>82421.384557207071</v>
      </c>
      <c r="F78" s="183">
        <f t="shared" si="9"/>
        <v>55977.94521814827</v>
      </c>
      <c r="G78" s="183">
        <f t="shared" si="9"/>
        <v>51370.238451216654</v>
      </c>
      <c r="H78" s="196"/>
      <c r="I78" s="135"/>
      <c r="J78" s="143">
        <v>40</v>
      </c>
      <c r="K78" s="183">
        <f t="shared" si="10"/>
        <v>0</v>
      </c>
      <c r="L78" s="183">
        <f t="shared" si="10"/>
        <v>0</v>
      </c>
      <c r="M78" s="183">
        <f t="shared" si="10"/>
        <v>66166.762319021247</v>
      </c>
      <c r="N78" s="183">
        <f t="shared" si="10"/>
        <v>56497.188680643572</v>
      </c>
      <c r="O78" s="183">
        <f t="shared" si="10"/>
        <v>50426.204075025176</v>
      </c>
      <c r="P78" s="140"/>
      <c r="Q78" s="140"/>
      <c r="R78" s="143">
        <v>40</v>
      </c>
      <c r="S78" s="183">
        <f t="shared" si="11"/>
        <v>0</v>
      </c>
      <c r="T78" s="183">
        <f t="shared" si="11"/>
        <v>0</v>
      </c>
      <c r="U78" s="183">
        <f t="shared" si="11"/>
        <v>76753.444290064654</v>
      </c>
      <c r="V78" s="183">
        <f t="shared" si="11"/>
        <v>65536.738869546549</v>
      </c>
      <c r="W78" s="183">
        <f t="shared" si="11"/>
        <v>58494.396727029212</v>
      </c>
    </row>
    <row r="79" spans="2:23" hidden="1" x14ac:dyDescent="0.2">
      <c r="B79" s="220">
        <v>41</v>
      </c>
      <c r="C79" s="183">
        <f t="shared" ref="C79:G88" si="12">+IF($B79&lt;=C$5-C$17,C$30,0)+ IF($B79=C$5,C$26,0)</f>
        <v>0</v>
      </c>
      <c r="D79" s="183">
        <f t="shared" si="12"/>
        <v>0</v>
      </c>
      <c r="E79" s="183">
        <f t="shared" si="12"/>
        <v>82421.384557207071</v>
      </c>
      <c r="F79" s="183">
        <f t="shared" si="12"/>
        <v>55977.94521814827</v>
      </c>
      <c r="G79" s="183">
        <f t="shared" si="12"/>
        <v>51370.238451216654</v>
      </c>
      <c r="H79" s="196"/>
      <c r="I79" s="135"/>
      <c r="J79" s="143">
        <v>41</v>
      </c>
      <c r="K79" s="183">
        <f t="shared" ref="K79:O88" si="13">+IF($B79&lt;=K$5-K$17,K$30,0)+ IF($B79=K$5,K$21,0)</f>
        <v>0</v>
      </c>
      <c r="L79" s="183">
        <f t="shared" si="13"/>
        <v>0</v>
      </c>
      <c r="M79" s="183">
        <f t="shared" si="13"/>
        <v>66166.762319021247</v>
      </c>
      <c r="N79" s="183">
        <f t="shared" si="13"/>
        <v>56497.188680643572</v>
      </c>
      <c r="O79" s="183">
        <f t="shared" si="13"/>
        <v>50426.204075025176</v>
      </c>
      <c r="P79" s="140"/>
      <c r="Q79" s="140"/>
      <c r="R79" s="143">
        <v>41</v>
      </c>
      <c r="S79" s="183">
        <f t="shared" ref="S79:W88" si="14">+IF($B79&lt;=S$5-S$17,S$30,0)+ IF($B79=S$5,S$21,0)</f>
        <v>0</v>
      </c>
      <c r="T79" s="183">
        <f t="shared" si="14"/>
        <v>0</v>
      </c>
      <c r="U79" s="183">
        <f t="shared" si="14"/>
        <v>76753.444290064654</v>
      </c>
      <c r="V79" s="183">
        <f t="shared" si="14"/>
        <v>65536.738869546549</v>
      </c>
      <c r="W79" s="183">
        <f t="shared" si="14"/>
        <v>58494.396727029212</v>
      </c>
    </row>
    <row r="80" spans="2:23" hidden="1" x14ac:dyDescent="0.2">
      <c r="B80" s="220">
        <v>42</v>
      </c>
      <c r="C80" s="183">
        <f t="shared" si="12"/>
        <v>0</v>
      </c>
      <c r="D80" s="183">
        <f t="shared" si="12"/>
        <v>0</v>
      </c>
      <c r="E80" s="183">
        <f t="shared" si="12"/>
        <v>82421.384557207071</v>
      </c>
      <c r="F80" s="183">
        <f t="shared" si="12"/>
        <v>55977.94521814827</v>
      </c>
      <c r="G80" s="183">
        <f t="shared" si="12"/>
        <v>51370.238451216654</v>
      </c>
      <c r="H80" s="196"/>
      <c r="I80" s="135"/>
      <c r="J80" s="143">
        <v>42</v>
      </c>
      <c r="K80" s="183">
        <f t="shared" si="13"/>
        <v>0</v>
      </c>
      <c r="L80" s="183">
        <f t="shared" si="13"/>
        <v>0</v>
      </c>
      <c r="M80" s="183">
        <f t="shared" si="13"/>
        <v>66166.762319021247</v>
      </c>
      <c r="N80" s="183">
        <f t="shared" si="13"/>
        <v>56497.188680643572</v>
      </c>
      <c r="O80" s="183">
        <f t="shared" si="13"/>
        <v>50426.204075025176</v>
      </c>
      <c r="P80" s="140"/>
      <c r="Q80" s="140"/>
      <c r="R80" s="143">
        <v>42</v>
      </c>
      <c r="S80" s="183">
        <f t="shared" si="14"/>
        <v>0</v>
      </c>
      <c r="T80" s="183">
        <f t="shared" si="14"/>
        <v>0</v>
      </c>
      <c r="U80" s="183">
        <f t="shared" si="14"/>
        <v>76753.444290064654</v>
      </c>
      <c r="V80" s="183">
        <f t="shared" si="14"/>
        <v>65536.738869546549</v>
      </c>
      <c r="W80" s="183">
        <f t="shared" si="14"/>
        <v>58494.396727029212</v>
      </c>
    </row>
    <row r="81" spans="2:23" hidden="1" x14ac:dyDescent="0.2">
      <c r="B81" s="220">
        <v>43</v>
      </c>
      <c r="C81" s="183">
        <f t="shared" si="12"/>
        <v>0</v>
      </c>
      <c r="D81" s="183">
        <f t="shared" si="12"/>
        <v>0</v>
      </c>
      <c r="E81" s="183">
        <f t="shared" si="12"/>
        <v>82421.384557207071</v>
      </c>
      <c r="F81" s="183">
        <f t="shared" si="12"/>
        <v>55977.94521814827</v>
      </c>
      <c r="G81" s="183">
        <f t="shared" si="12"/>
        <v>51370.238451216654</v>
      </c>
      <c r="H81" s="196"/>
      <c r="I81" s="135"/>
      <c r="J81" s="143">
        <v>43</v>
      </c>
      <c r="K81" s="183">
        <f t="shared" si="13"/>
        <v>0</v>
      </c>
      <c r="L81" s="183">
        <f t="shared" si="13"/>
        <v>0</v>
      </c>
      <c r="M81" s="183">
        <f t="shared" si="13"/>
        <v>66166.762319021247</v>
      </c>
      <c r="N81" s="183">
        <f t="shared" si="13"/>
        <v>56497.188680643572</v>
      </c>
      <c r="O81" s="183">
        <f t="shared" si="13"/>
        <v>50426.204075025176</v>
      </c>
      <c r="P81" s="140"/>
      <c r="Q81" s="140"/>
      <c r="R81" s="143">
        <v>43</v>
      </c>
      <c r="S81" s="183">
        <f t="shared" si="14"/>
        <v>0</v>
      </c>
      <c r="T81" s="183">
        <f t="shared" si="14"/>
        <v>0</v>
      </c>
      <c r="U81" s="183">
        <f t="shared" si="14"/>
        <v>76753.444290064654</v>
      </c>
      <c r="V81" s="183">
        <f t="shared" si="14"/>
        <v>65536.738869546549</v>
      </c>
      <c r="W81" s="183">
        <f t="shared" si="14"/>
        <v>58494.396727029212</v>
      </c>
    </row>
    <row r="82" spans="2:23" hidden="1" x14ac:dyDescent="0.2">
      <c r="B82" s="220">
        <v>44</v>
      </c>
      <c r="C82" s="183">
        <f t="shared" si="12"/>
        <v>0</v>
      </c>
      <c r="D82" s="183">
        <f t="shared" si="12"/>
        <v>0</v>
      </c>
      <c r="E82" s="183">
        <f t="shared" si="12"/>
        <v>82421.384557207071</v>
      </c>
      <c r="F82" s="183">
        <f t="shared" si="12"/>
        <v>55977.94521814827</v>
      </c>
      <c r="G82" s="183">
        <f t="shared" si="12"/>
        <v>51370.238451216654</v>
      </c>
      <c r="H82" s="196"/>
      <c r="I82" s="135"/>
      <c r="J82" s="143">
        <v>44</v>
      </c>
      <c r="K82" s="183">
        <f t="shared" si="13"/>
        <v>0</v>
      </c>
      <c r="L82" s="183">
        <f t="shared" si="13"/>
        <v>0</v>
      </c>
      <c r="M82" s="183">
        <f t="shared" si="13"/>
        <v>66166.762319021247</v>
      </c>
      <c r="N82" s="183">
        <f t="shared" si="13"/>
        <v>56497.188680643572</v>
      </c>
      <c r="O82" s="183">
        <f t="shared" si="13"/>
        <v>50426.204075025176</v>
      </c>
      <c r="P82" s="140"/>
      <c r="Q82" s="140"/>
      <c r="R82" s="143">
        <v>44</v>
      </c>
      <c r="S82" s="183">
        <f t="shared" si="14"/>
        <v>0</v>
      </c>
      <c r="T82" s="183">
        <f t="shared" si="14"/>
        <v>0</v>
      </c>
      <c r="U82" s="183">
        <f t="shared" si="14"/>
        <v>76753.444290064654</v>
      </c>
      <c r="V82" s="183">
        <f t="shared" si="14"/>
        <v>65536.738869546549</v>
      </c>
      <c r="W82" s="183">
        <f t="shared" si="14"/>
        <v>58494.396727029212</v>
      </c>
    </row>
    <row r="83" spans="2:23" hidden="1" x14ac:dyDescent="0.2">
      <c r="B83" s="220">
        <v>45</v>
      </c>
      <c r="C83" s="183">
        <f t="shared" si="12"/>
        <v>0</v>
      </c>
      <c r="D83" s="183">
        <f t="shared" si="12"/>
        <v>0</v>
      </c>
      <c r="E83" s="183">
        <f t="shared" si="12"/>
        <v>82421.384557207071</v>
      </c>
      <c r="F83" s="183">
        <f t="shared" si="12"/>
        <v>55977.94521814827</v>
      </c>
      <c r="G83" s="183">
        <f t="shared" si="12"/>
        <v>51370.238451216654</v>
      </c>
      <c r="H83" s="196"/>
      <c r="I83" s="135"/>
      <c r="J83" s="143">
        <v>45</v>
      </c>
      <c r="K83" s="183">
        <f t="shared" si="13"/>
        <v>0</v>
      </c>
      <c r="L83" s="183">
        <f t="shared" si="13"/>
        <v>0</v>
      </c>
      <c r="M83" s="183">
        <f t="shared" si="13"/>
        <v>66166.762319021247</v>
      </c>
      <c r="N83" s="183">
        <f t="shared" si="13"/>
        <v>56497.188680643572</v>
      </c>
      <c r="O83" s="183">
        <f t="shared" si="13"/>
        <v>50426.204075025176</v>
      </c>
      <c r="P83" s="140"/>
      <c r="Q83" s="140"/>
      <c r="R83" s="143">
        <v>45</v>
      </c>
      <c r="S83" s="183">
        <f t="shared" si="14"/>
        <v>0</v>
      </c>
      <c r="T83" s="183">
        <f t="shared" si="14"/>
        <v>0</v>
      </c>
      <c r="U83" s="183">
        <f t="shared" si="14"/>
        <v>76753.444290064654</v>
      </c>
      <c r="V83" s="183">
        <f t="shared" si="14"/>
        <v>65536.738869546549</v>
      </c>
      <c r="W83" s="183">
        <f t="shared" si="14"/>
        <v>58494.396727029212</v>
      </c>
    </row>
    <row r="84" spans="2:23" hidden="1" x14ac:dyDescent="0.2">
      <c r="B84" s="220">
        <v>46</v>
      </c>
      <c r="C84" s="183">
        <f t="shared" si="12"/>
        <v>0</v>
      </c>
      <c r="D84" s="183">
        <f t="shared" si="12"/>
        <v>0</v>
      </c>
      <c r="E84" s="183">
        <f t="shared" si="12"/>
        <v>82421.384557207071</v>
      </c>
      <c r="F84" s="183">
        <f t="shared" si="12"/>
        <v>55977.94521814827</v>
      </c>
      <c r="G84" s="183">
        <f t="shared" si="12"/>
        <v>51370.238451216654</v>
      </c>
      <c r="H84" s="196"/>
      <c r="I84" s="135"/>
      <c r="J84" s="143">
        <v>46</v>
      </c>
      <c r="K84" s="183">
        <f t="shared" si="13"/>
        <v>0</v>
      </c>
      <c r="L84" s="183">
        <f t="shared" si="13"/>
        <v>0</v>
      </c>
      <c r="M84" s="183">
        <f t="shared" si="13"/>
        <v>66166.762319021247</v>
      </c>
      <c r="N84" s="183">
        <f t="shared" si="13"/>
        <v>56497.188680643572</v>
      </c>
      <c r="O84" s="183">
        <f t="shared" si="13"/>
        <v>50426.204075025176</v>
      </c>
      <c r="P84" s="140"/>
      <c r="Q84" s="140"/>
      <c r="R84" s="143">
        <v>46</v>
      </c>
      <c r="S84" s="183">
        <f t="shared" si="14"/>
        <v>0</v>
      </c>
      <c r="T84" s="183">
        <f t="shared" si="14"/>
        <v>0</v>
      </c>
      <c r="U84" s="183">
        <f t="shared" si="14"/>
        <v>76753.444290064654</v>
      </c>
      <c r="V84" s="183">
        <f t="shared" si="14"/>
        <v>65536.738869546549</v>
      </c>
      <c r="W84" s="183">
        <f t="shared" si="14"/>
        <v>58494.396727029212</v>
      </c>
    </row>
    <row r="85" spans="2:23" hidden="1" x14ac:dyDescent="0.2">
      <c r="B85" s="220">
        <v>47</v>
      </c>
      <c r="C85" s="183">
        <f t="shared" si="12"/>
        <v>0</v>
      </c>
      <c r="D85" s="183">
        <f t="shared" si="12"/>
        <v>0</v>
      </c>
      <c r="E85" s="183">
        <f t="shared" si="12"/>
        <v>82421.384557207071</v>
      </c>
      <c r="F85" s="183">
        <f t="shared" si="12"/>
        <v>55977.94521814827</v>
      </c>
      <c r="G85" s="183">
        <f t="shared" si="12"/>
        <v>51370.238451216654</v>
      </c>
      <c r="H85" s="196"/>
      <c r="I85" s="135"/>
      <c r="J85" s="143">
        <v>47</v>
      </c>
      <c r="K85" s="183">
        <f t="shared" si="13"/>
        <v>0</v>
      </c>
      <c r="L85" s="183">
        <f t="shared" si="13"/>
        <v>0</v>
      </c>
      <c r="M85" s="183">
        <f t="shared" si="13"/>
        <v>66166.762319021247</v>
      </c>
      <c r="N85" s="183">
        <f t="shared" si="13"/>
        <v>56497.188680643572</v>
      </c>
      <c r="O85" s="183">
        <f t="shared" si="13"/>
        <v>50426.204075025176</v>
      </c>
      <c r="P85" s="140"/>
      <c r="Q85" s="140"/>
      <c r="R85" s="143">
        <v>47</v>
      </c>
      <c r="S85" s="183">
        <f t="shared" si="14"/>
        <v>0</v>
      </c>
      <c r="T85" s="183">
        <f t="shared" si="14"/>
        <v>0</v>
      </c>
      <c r="U85" s="183">
        <f t="shared" si="14"/>
        <v>76753.444290064654</v>
      </c>
      <c r="V85" s="183">
        <f t="shared" si="14"/>
        <v>65536.738869546549</v>
      </c>
      <c r="W85" s="183">
        <f t="shared" si="14"/>
        <v>58494.396727029212</v>
      </c>
    </row>
    <row r="86" spans="2:23" hidden="1" x14ac:dyDescent="0.2">
      <c r="B86" s="220">
        <v>48</v>
      </c>
      <c r="C86" s="183">
        <f t="shared" si="12"/>
        <v>0</v>
      </c>
      <c r="D86" s="183">
        <f t="shared" si="12"/>
        <v>0</v>
      </c>
      <c r="E86" s="183">
        <f t="shared" si="12"/>
        <v>849739.17766065558</v>
      </c>
      <c r="F86" s="183">
        <f t="shared" si="12"/>
        <v>55977.94521814827</v>
      </c>
      <c r="G86" s="183">
        <f t="shared" si="12"/>
        <v>51370.238451216654</v>
      </c>
      <c r="H86" s="196"/>
      <c r="I86" s="135"/>
      <c r="J86" s="143">
        <v>48</v>
      </c>
      <c r="K86" s="183">
        <f t="shared" si="13"/>
        <v>0</v>
      </c>
      <c r="L86" s="183">
        <f t="shared" si="13"/>
        <v>0</v>
      </c>
      <c r="M86" s="183">
        <f t="shared" si="13"/>
        <v>93570.969215572972</v>
      </c>
      <c r="N86" s="183">
        <f t="shared" si="13"/>
        <v>56497.188680643572</v>
      </c>
      <c r="O86" s="183">
        <f t="shared" si="13"/>
        <v>50426.204075025176</v>
      </c>
      <c r="P86" s="140"/>
      <c r="Q86" s="140"/>
      <c r="R86" s="143">
        <v>48</v>
      </c>
      <c r="S86" s="183">
        <f t="shared" si="14"/>
        <v>0</v>
      </c>
      <c r="T86" s="183">
        <f t="shared" si="14"/>
        <v>0</v>
      </c>
      <c r="U86" s="183">
        <f t="shared" si="14"/>
        <v>76753.444290064654</v>
      </c>
      <c r="V86" s="183">
        <f t="shared" si="14"/>
        <v>65536.738869546549</v>
      </c>
      <c r="W86" s="183">
        <f t="shared" si="14"/>
        <v>58494.396727029212</v>
      </c>
    </row>
    <row r="87" spans="2:23" hidden="1" x14ac:dyDescent="0.2">
      <c r="B87" s="220">
        <v>49</v>
      </c>
      <c r="C87" s="183">
        <f t="shared" si="12"/>
        <v>0</v>
      </c>
      <c r="D87" s="183">
        <f t="shared" si="12"/>
        <v>0</v>
      </c>
      <c r="E87" s="183">
        <f t="shared" si="12"/>
        <v>0</v>
      </c>
      <c r="F87" s="183">
        <f t="shared" si="12"/>
        <v>55977.94521814827</v>
      </c>
      <c r="G87" s="183">
        <f t="shared" si="12"/>
        <v>51370.238451216654</v>
      </c>
      <c r="H87" s="196"/>
      <c r="I87" s="135"/>
      <c r="J87" s="143">
        <v>49</v>
      </c>
      <c r="K87" s="183">
        <f t="shared" si="13"/>
        <v>0</v>
      </c>
      <c r="L87" s="183">
        <f t="shared" si="13"/>
        <v>0</v>
      </c>
      <c r="M87" s="183">
        <f t="shared" si="13"/>
        <v>0</v>
      </c>
      <c r="N87" s="183">
        <f t="shared" si="13"/>
        <v>56497.188680643572</v>
      </c>
      <c r="O87" s="183">
        <f t="shared" si="13"/>
        <v>50426.204075025176</v>
      </c>
      <c r="P87" s="140"/>
      <c r="Q87" s="140"/>
      <c r="R87" s="143">
        <v>49</v>
      </c>
      <c r="S87" s="183">
        <f t="shared" si="14"/>
        <v>0</v>
      </c>
      <c r="T87" s="183">
        <f t="shared" si="14"/>
        <v>0</v>
      </c>
      <c r="U87" s="183">
        <f t="shared" si="14"/>
        <v>0</v>
      </c>
      <c r="V87" s="183">
        <f t="shared" si="14"/>
        <v>65536.738869546549</v>
      </c>
      <c r="W87" s="183">
        <f t="shared" si="14"/>
        <v>58494.396727029212</v>
      </c>
    </row>
    <row r="88" spans="2:23" hidden="1" x14ac:dyDescent="0.2">
      <c r="B88" s="220">
        <v>50</v>
      </c>
      <c r="C88" s="183">
        <f t="shared" si="12"/>
        <v>0</v>
      </c>
      <c r="D88" s="183">
        <f t="shared" si="12"/>
        <v>0</v>
      </c>
      <c r="E88" s="183">
        <f t="shared" si="12"/>
        <v>0</v>
      </c>
      <c r="F88" s="183">
        <f t="shared" si="12"/>
        <v>55977.94521814827</v>
      </c>
      <c r="G88" s="183">
        <f t="shared" si="12"/>
        <v>51370.238451216654</v>
      </c>
      <c r="H88" s="196"/>
      <c r="I88" s="135"/>
      <c r="J88" s="143">
        <v>50</v>
      </c>
      <c r="K88" s="183">
        <f t="shared" si="13"/>
        <v>0</v>
      </c>
      <c r="L88" s="183">
        <f t="shared" si="13"/>
        <v>0</v>
      </c>
      <c r="M88" s="183">
        <f t="shared" si="13"/>
        <v>0</v>
      </c>
      <c r="N88" s="183">
        <f t="shared" si="13"/>
        <v>56497.188680643572</v>
      </c>
      <c r="O88" s="183">
        <f t="shared" si="13"/>
        <v>50426.204075025176</v>
      </c>
      <c r="P88" s="140"/>
      <c r="Q88" s="140"/>
      <c r="R88" s="143">
        <v>50</v>
      </c>
      <c r="S88" s="183">
        <f t="shared" si="14"/>
        <v>0</v>
      </c>
      <c r="T88" s="183">
        <f t="shared" si="14"/>
        <v>0</v>
      </c>
      <c r="U88" s="183">
        <f t="shared" si="14"/>
        <v>0</v>
      </c>
      <c r="V88" s="183">
        <f t="shared" si="14"/>
        <v>65536.738869546549</v>
      </c>
      <c r="W88" s="183">
        <f t="shared" si="14"/>
        <v>58494.396727029212</v>
      </c>
    </row>
    <row r="89" spans="2:23" hidden="1" x14ac:dyDescent="0.2">
      <c r="B89" s="220">
        <v>51</v>
      </c>
      <c r="C89" s="183">
        <f t="shared" ref="C89:G98" si="15">+IF($B89&lt;=C$5-C$17,C$30,0)+ IF($B89=C$5,C$26,0)</f>
        <v>0</v>
      </c>
      <c r="D89" s="183">
        <f t="shared" si="15"/>
        <v>0</v>
      </c>
      <c r="E89" s="183">
        <f t="shared" si="15"/>
        <v>0</v>
      </c>
      <c r="F89" s="183">
        <f t="shared" si="15"/>
        <v>55977.94521814827</v>
      </c>
      <c r="G89" s="183">
        <f t="shared" si="15"/>
        <v>51370.238451216654</v>
      </c>
      <c r="H89" s="196"/>
      <c r="I89" s="135"/>
      <c r="J89" s="143">
        <v>51</v>
      </c>
      <c r="K89" s="183">
        <f t="shared" ref="K89:O98" si="16">+IF($B89&lt;=K$5-K$17,K$30,0)+ IF($B89=K$5,K$21,0)</f>
        <v>0</v>
      </c>
      <c r="L89" s="183">
        <f t="shared" si="16"/>
        <v>0</v>
      </c>
      <c r="M89" s="183">
        <f t="shared" si="16"/>
        <v>0</v>
      </c>
      <c r="N89" s="183">
        <f t="shared" si="16"/>
        <v>56497.188680643572</v>
      </c>
      <c r="O89" s="183">
        <f t="shared" si="16"/>
        <v>50426.204075025176</v>
      </c>
      <c r="P89" s="140"/>
      <c r="Q89" s="140"/>
      <c r="R89" s="143">
        <v>51</v>
      </c>
      <c r="S89" s="183">
        <f t="shared" ref="S89:W98" si="17">+IF($B89&lt;=S$5-S$17,S$30,0)+ IF($B89=S$5,S$21,0)</f>
        <v>0</v>
      </c>
      <c r="T89" s="183">
        <f t="shared" si="17"/>
        <v>0</v>
      </c>
      <c r="U89" s="183">
        <f t="shared" si="17"/>
        <v>0</v>
      </c>
      <c r="V89" s="183">
        <f t="shared" si="17"/>
        <v>65536.738869546549</v>
      </c>
      <c r="W89" s="183">
        <f t="shared" si="17"/>
        <v>58494.396727029212</v>
      </c>
    </row>
    <row r="90" spans="2:23" hidden="1" x14ac:dyDescent="0.2">
      <c r="B90" s="220">
        <v>52</v>
      </c>
      <c r="C90" s="183">
        <f t="shared" si="15"/>
        <v>0</v>
      </c>
      <c r="D90" s="183">
        <f t="shared" si="15"/>
        <v>0</v>
      </c>
      <c r="E90" s="183">
        <f t="shared" si="15"/>
        <v>0</v>
      </c>
      <c r="F90" s="183">
        <f t="shared" si="15"/>
        <v>55977.94521814827</v>
      </c>
      <c r="G90" s="183">
        <f t="shared" si="15"/>
        <v>51370.238451216654</v>
      </c>
      <c r="H90" s="196"/>
      <c r="I90" s="135"/>
      <c r="J90" s="143">
        <v>52</v>
      </c>
      <c r="K90" s="183">
        <f t="shared" si="16"/>
        <v>0</v>
      </c>
      <c r="L90" s="183">
        <f t="shared" si="16"/>
        <v>0</v>
      </c>
      <c r="M90" s="183">
        <f t="shared" si="16"/>
        <v>0</v>
      </c>
      <c r="N90" s="183">
        <f t="shared" si="16"/>
        <v>56497.188680643572</v>
      </c>
      <c r="O90" s="183">
        <f t="shared" si="16"/>
        <v>50426.204075025176</v>
      </c>
      <c r="P90" s="140"/>
      <c r="Q90" s="140"/>
      <c r="R90" s="143">
        <v>52</v>
      </c>
      <c r="S90" s="183">
        <f t="shared" si="17"/>
        <v>0</v>
      </c>
      <c r="T90" s="183">
        <f t="shared" si="17"/>
        <v>0</v>
      </c>
      <c r="U90" s="183">
        <f t="shared" si="17"/>
        <v>0</v>
      </c>
      <c r="V90" s="183">
        <f t="shared" si="17"/>
        <v>65536.738869546549</v>
      </c>
      <c r="W90" s="183">
        <f t="shared" si="17"/>
        <v>58494.396727029212</v>
      </c>
    </row>
    <row r="91" spans="2:23" hidden="1" x14ac:dyDescent="0.2">
      <c r="B91" s="220">
        <v>53</v>
      </c>
      <c r="C91" s="183">
        <f t="shared" si="15"/>
        <v>0</v>
      </c>
      <c r="D91" s="183">
        <f t="shared" si="15"/>
        <v>0</v>
      </c>
      <c r="E91" s="183">
        <f t="shared" si="15"/>
        <v>0</v>
      </c>
      <c r="F91" s="183">
        <f t="shared" si="15"/>
        <v>55977.94521814827</v>
      </c>
      <c r="G91" s="183">
        <f t="shared" si="15"/>
        <v>51370.238451216654</v>
      </c>
      <c r="H91" s="196"/>
      <c r="I91" s="135"/>
      <c r="J91" s="143">
        <v>53</v>
      </c>
      <c r="K91" s="183">
        <f t="shared" si="16"/>
        <v>0</v>
      </c>
      <c r="L91" s="183">
        <f t="shared" si="16"/>
        <v>0</v>
      </c>
      <c r="M91" s="183">
        <f t="shared" si="16"/>
        <v>0</v>
      </c>
      <c r="N91" s="183">
        <f t="shared" si="16"/>
        <v>56497.188680643572</v>
      </c>
      <c r="O91" s="183">
        <f t="shared" si="16"/>
        <v>50426.204075025176</v>
      </c>
      <c r="P91" s="140"/>
      <c r="Q91" s="140"/>
      <c r="R91" s="143">
        <v>53</v>
      </c>
      <c r="S91" s="183">
        <f t="shared" si="17"/>
        <v>0</v>
      </c>
      <c r="T91" s="183">
        <f t="shared" si="17"/>
        <v>0</v>
      </c>
      <c r="U91" s="183">
        <f t="shared" si="17"/>
        <v>0</v>
      </c>
      <c r="V91" s="183">
        <f t="shared" si="17"/>
        <v>65536.738869546549</v>
      </c>
      <c r="W91" s="183">
        <f t="shared" si="17"/>
        <v>58494.396727029212</v>
      </c>
    </row>
    <row r="92" spans="2:23" hidden="1" x14ac:dyDescent="0.2">
      <c r="B92" s="220">
        <v>54</v>
      </c>
      <c r="C92" s="183">
        <f t="shared" si="15"/>
        <v>0</v>
      </c>
      <c r="D92" s="183">
        <f t="shared" si="15"/>
        <v>0</v>
      </c>
      <c r="E92" s="183">
        <f t="shared" si="15"/>
        <v>0</v>
      </c>
      <c r="F92" s="183">
        <f t="shared" si="15"/>
        <v>55977.94521814827</v>
      </c>
      <c r="G92" s="183">
        <f t="shared" si="15"/>
        <v>51370.238451216654</v>
      </c>
      <c r="H92" s="196"/>
      <c r="I92" s="135"/>
      <c r="J92" s="143">
        <v>54</v>
      </c>
      <c r="K92" s="183">
        <f t="shared" si="16"/>
        <v>0</v>
      </c>
      <c r="L92" s="183">
        <f t="shared" si="16"/>
        <v>0</v>
      </c>
      <c r="M92" s="183">
        <f t="shared" si="16"/>
        <v>0</v>
      </c>
      <c r="N92" s="183">
        <f t="shared" si="16"/>
        <v>56497.188680643572</v>
      </c>
      <c r="O92" s="183">
        <f t="shared" si="16"/>
        <v>50426.204075025176</v>
      </c>
      <c r="P92" s="140"/>
      <c r="Q92" s="140"/>
      <c r="R92" s="143">
        <v>54</v>
      </c>
      <c r="S92" s="183">
        <f t="shared" si="17"/>
        <v>0</v>
      </c>
      <c r="T92" s="183">
        <f t="shared" si="17"/>
        <v>0</v>
      </c>
      <c r="U92" s="183">
        <f t="shared" si="17"/>
        <v>0</v>
      </c>
      <c r="V92" s="183">
        <f t="shared" si="17"/>
        <v>65536.738869546549</v>
      </c>
      <c r="W92" s="183">
        <f t="shared" si="17"/>
        <v>58494.396727029212</v>
      </c>
    </row>
    <row r="93" spans="2:23" hidden="1" x14ac:dyDescent="0.2">
      <c r="B93" s="220">
        <v>55</v>
      </c>
      <c r="C93" s="183">
        <f t="shared" si="15"/>
        <v>0</v>
      </c>
      <c r="D93" s="183">
        <f t="shared" si="15"/>
        <v>0</v>
      </c>
      <c r="E93" s="183">
        <f t="shared" si="15"/>
        <v>0</v>
      </c>
      <c r="F93" s="183">
        <f t="shared" si="15"/>
        <v>55977.94521814827</v>
      </c>
      <c r="G93" s="183">
        <f t="shared" si="15"/>
        <v>51370.238451216654</v>
      </c>
      <c r="H93" s="196"/>
      <c r="I93" s="135"/>
      <c r="J93" s="143">
        <v>55</v>
      </c>
      <c r="K93" s="183">
        <f t="shared" si="16"/>
        <v>0</v>
      </c>
      <c r="L93" s="183">
        <f t="shared" si="16"/>
        <v>0</v>
      </c>
      <c r="M93" s="183">
        <f t="shared" si="16"/>
        <v>0</v>
      </c>
      <c r="N93" s="183">
        <f t="shared" si="16"/>
        <v>56497.188680643572</v>
      </c>
      <c r="O93" s="183">
        <f t="shared" si="16"/>
        <v>50426.204075025176</v>
      </c>
      <c r="P93" s="140"/>
      <c r="Q93" s="140"/>
      <c r="R93" s="143">
        <v>55</v>
      </c>
      <c r="S93" s="183">
        <f t="shared" si="17"/>
        <v>0</v>
      </c>
      <c r="T93" s="183">
        <f t="shared" si="17"/>
        <v>0</v>
      </c>
      <c r="U93" s="183">
        <f t="shared" si="17"/>
        <v>0</v>
      </c>
      <c r="V93" s="183">
        <f t="shared" si="17"/>
        <v>65536.738869546549</v>
      </c>
      <c r="W93" s="183">
        <f t="shared" si="17"/>
        <v>58494.396727029212</v>
      </c>
    </row>
    <row r="94" spans="2:23" hidden="1" x14ac:dyDescent="0.2">
      <c r="B94" s="220">
        <v>56</v>
      </c>
      <c r="C94" s="183">
        <f t="shared" si="15"/>
        <v>0</v>
      </c>
      <c r="D94" s="183">
        <f t="shared" si="15"/>
        <v>0</v>
      </c>
      <c r="E94" s="183">
        <f t="shared" si="15"/>
        <v>0</v>
      </c>
      <c r="F94" s="183">
        <f t="shared" si="15"/>
        <v>55977.94521814827</v>
      </c>
      <c r="G94" s="183">
        <f t="shared" si="15"/>
        <v>51370.238451216654</v>
      </c>
      <c r="H94" s="196"/>
      <c r="I94" s="135"/>
      <c r="J94" s="143">
        <v>56</v>
      </c>
      <c r="K94" s="183">
        <f t="shared" si="16"/>
        <v>0</v>
      </c>
      <c r="L94" s="183">
        <f t="shared" si="16"/>
        <v>0</v>
      </c>
      <c r="M94" s="183">
        <f t="shared" si="16"/>
        <v>0</v>
      </c>
      <c r="N94" s="183">
        <f t="shared" si="16"/>
        <v>56497.188680643572</v>
      </c>
      <c r="O94" s="183">
        <f t="shared" si="16"/>
        <v>50426.204075025176</v>
      </c>
      <c r="P94" s="140"/>
      <c r="Q94" s="140"/>
      <c r="R94" s="143">
        <v>56</v>
      </c>
      <c r="S94" s="183">
        <f t="shared" si="17"/>
        <v>0</v>
      </c>
      <c r="T94" s="183">
        <f t="shared" si="17"/>
        <v>0</v>
      </c>
      <c r="U94" s="183">
        <f t="shared" si="17"/>
        <v>0</v>
      </c>
      <c r="V94" s="183">
        <f t="shared" si="17"/>
        <v>65536.738869546549</v>
      </c>
      <c r="W94" s="183">
        <f t="shared" si="17"/>
        <v>58494.396727029212</v>
      </c>
    </row>
    <row r="95" spans="2:23" hidden="1" x14ac:dyDescent="0.2">
      <c r="B95" s="220">
        <v>57</v>
      </c>
      <c r="C95" s="183">
        <f t="shared" si="15"/>
        <v>0</v>
      </c>
      <c r="D95" s="183">
        <f t="shared" si="15"/>
        <v>0</v>
      </c>
      <c r="E95" s="183">
        <f t="shared" si="15"/>
        <v>0</v>
      </c>
      <c r="F95" s="183">
        <f t="shared" si="15"/>
        <v>55977.94521814827</v>
      </c>
      <c r="G95" s="183">
        <f t="shared" si="15"/>
        <v>51370.238451216654</v>
      </c>
      <c r="H95" s="196"/>
      <c r="I95" s="135"/>
      <c r="J95" s="143">
        <v>57</v>
      </c>
      <c r="K95" s="183">
        <f t="shared" si="16"/>
        <v>0</v>
      </c>
      <c r="L95" s="183">
        <f t="shared" si="16"/>
        <v>0</v>
      </c>
      <c r="M95" s="183">
        <f t="shared" si="16"/>
        <v>0</v>
      </c>
      <c r="N95" s="183">
        <f t="shared" si="16"/>
        <v>56497.188680643572</v>
      </c>
      <c r="O95" s="183">
        <f t="shared" si="16"/>
        <v>50426.204075025176</v>
      </c>
      <c r="P95" s="140"/>
      <c r="Q95" s="140"/>
      <c r="R95" s="143">
        <v>57</v>
      </c>
      <c r="S95" s="183">
        <f t="shared" si="17"/>
        <v>0</v>
      </c>
      <c r="T95" s="183">
        <f t="shared" si="17"/>
        <v>0</v>
      </c>
      <c r="U95" s="183">
        <f t="shared" si="17"/>
        <v>0</v>
      </c>
      <c r="V95" s="183">
        <f t="shared" si="17"/>
        <v>65536.738869546549</v>
      </c>
      <c r="W95" s="183">
        <f t="shared" si="17"/>
        <v>58494.396727029212</v>
      </c>
    </row>
    <row r="96" spans="2:23" hidden="1" x14ac:dyDescent="0.2">
      <c r="B96" s="220">
        <v>58</v>
      </c>
      <c r="C96" s="183">
        <f t="shared" si="15"/>
        <v>0</v>
      </c>
      <c r="D96" s="183">
        <f t="shared" si="15"/>
        <v>0</v>
      </c>
      <c r="E96" s="183">
        <f t="shared" si="15"/>
        <v>0</v>
      </c>
      <c r="F96" s="183">
        <f t="shared" si="15"/>
        <v>55977.94521814827</v>
      </c>
      <c r="G96" s="183">
        <f t="shared" si="15"/>
        <v>51370.238451216654</v>
      </c>
      <c r="H96" s="196"/>
      <c r="I96" s="135"/>
      <c r="J96" s="143">
        <v>58</v>
      </c>
      <c r="K96" s="183">
        <f t="shared" si="16"/>
        <v>0</v>
      </c>
      <c r="L96" s="183">
        <f t="shared" si="16"/>
        <v>0</v>
      </c>
      <c r="M96" s="183">
        <f t="shared" si="16"/>
        <v>0</v>
      </c>
      <c r="N96" s="183">
        <f t="shared" si="16"/>
        <v>56497.188680643572</v>
      </c>
      <c r="O96" s="183">
        <f t="shared" si="16"/>
        <v>50426.204075025176</v>
      </c>
      <c r="P96" s="140"/>
      <c r="Q96" s="140"/>
      <c r="R96" s="143">
        <v>58</v>
      </c>
      <c r="S96" s="183">
        <f t="shared" si="17"/>
        <v>0</v>
      </c>
      <c r="T96" s="183">
        <f t="shared" si="17"/>
        <v>0</v>
      </c>
      <c r="U96" s="183">
        <f t="shared" si="17"/>
        <v>0</v>
      </c>
      <c r="V96" s="183">
        <f t="shared" si="17"/>
        <v>65536.738869546549</v>
      </c>
      <c r="W96" s="183">
        <f t="shared" si="17"/>
        <v>58494.396727029212</v>
      </c>
    </row>
    <row r="97" spans="2:23" hidden="1" x14ac:dyDescent="0.2">
      <c r="B97" s="220">
        <v>59</v>
      </c>
      <c r="C97" s="183">
        <f t="shared" si="15"/>
        <v>0</v>
      </c>
      <c r="D97" s="183">
        <f t="shared" si="15"/>
        <v>0</v>
      </c>
      <c r="E97" s="183">
        <f t="shared" si="15"/>
        <v>0</v>
      </c>
      <c r="F97" s="183">
        <f t="shared" si="15"/>
        <v>55977.94521814827</v>
      </c>
      <c r="G97" s="183">
        <f t="shared" si="15"/>
        <v>51370.238451216654</v>
      </c>
      <c r="H97" s="196"/>
      <c r="I97" s="135"/>
      <c r="J97" s="143">
        <v>59</v>
      </c>
      <c r="K97" s="183">
        <f t="shared" si="16"/>
        <v>0</v>
      </c>
      <c r="L97" s="183">
        <f t="shared" si="16"/>
        <v>0</v>
      </c>
      <c r="M97" s="183">
        <f t="shared" si="16"/>
        <v>0</v>
      </c>
      <c r="N97" s="183">
        <f t="shared" si="16"/>
        <v>56497.188680643572</v>
      </c>
      <c r="O97" s="183">
        <f t="shared" si="16"/>
        <v>50426.204075025176</v>
      </c>
      <c r="P97" s="140"/>
      <c r="Q97" s="140"/>
      <c r="R97" s="143">
        <v>59</v>
      </c>
      <c r="S97" s="183">
        <f t="shared" si="17"/>
        <v>0</v>
      </c>
      <c r="T97" s="183">
        <f t="shared" si="17"/>
        <v>0</v>
      </c>
      <c r="U97" s="183">
        <f t="shared" si="17"/>
        <v>0</v>
      </c>
      <c r="V97" s="183">
        <f t="shared" si="17"/>
        <v>65536.738869546549</v>
      </c>
      <c r="W97" s="183">
        <f t="shared" si="17"/>
        <v>58494.396727029212</v>
      </c>
    </row>
    <row r="98" spans="2:23" hidden="1" x14ac:dyDescent="0.2">
      <c r="B98" s="220">
        <v>60</v>
      </c>
      <c r="C98" s="183">
        <f t="shared" si="15"/>
        <v>0</v>
      </c>
      <c r="D98" s="183">
        <f t="shared" si="15"/>
        <v>0</v>
      </c>
      <c r="E98" s="183">
        <f t="shared" si="15"/>
        <v>0</v>
      </c>
      <c r="F98" s="183">
        <f t="shared" si="15"/>
        <v>686274.70383883803</v>
      </c>
      <c r="G98" s="183">
        <f t="shared" si="15"/>
        <v>51370.238451216654</v>
      </c>
      <c r="H98" s="196"/>
      <c r="I98" s="135"/>
      <c r="J98" s="143">
        <v>60</v>
      </c>
      <c r="K98" s="183">
        <f t="shared" si="16"/>
        <v>0</v>
      </c>
      <c r="L98" s="183">
        <f t="shared" si="16"/>
        <v>0</v>
      </c>
      <c r="M98" s="183">
        <f t="shared" si="16"/>
        <v>0</v>
      </c>
      <c r="N98" s="183">
        <f t="shared" si="16"/>
        <v>83901.395577195304</v>
      </c>
      <c r="O98" s="183">
        <f t="shared" si="16"/>
        <v>50426.204075025176</v>
      </c>
      <c r="P98" s="140"/>
      <c r="Q98" s="140"/>
      <c r="R98" s="143">
        <v>60</v>
      </c>
      <c r="S98" s="183">
        <f t="shared" si="17"/>
        <v>0</v>
      </c>
      <c r="T98" s="183">
        <f t="shared" si="17"/>
        <v>0</v>
      </c>
      <c r="U98" s="183">
        <f t="shared" si="17"/>
        <v>0</v>
      </c>
      <c r="V98" s="183">
        <f t="shared" si="17"/>
        <v>65536.738869546549</v>
      </c>
      <c r="W98" s="183">
        <f t="shared" si="17"/>
        <v>58494.396727029212</v>
      </c>
    </row>
    <row r="99" spans="2:23" hidden="1" x14ac:dyDescent="0.2">
      <c r="B99" s="220">
        <v>61</v>
      </c>
      <c r="C99" s="183">
        <f t="shared" ref="C99:G110" si="18">+IF($B99&lt;=C$5-C$17,C$30,0)+ IF($B99=C$5,C$26,0)</f>
        <v>0</v>
      </c>
      <c r="D99" s="183">
        <f t="shared" si="18"/>
        <v>0</v>
      </c>
      <c r="E99" s="183">
        <f t="shared" si="18"/>
        <v>0</v>
      </c>
      <c r="F99" s="183">
        <f t="shared" si="18"/>
        <v>0</v>
      </c>
      <c r="G99" s="183">
        <f t="shared" si="18"/>
        <v>51370.238451216654</v>
      </c>
      <c r="H99" s="196"/>
      <c r="I99" s="135"/>
      <c r="J99" s="143">
        <v>61</v>
      </c>
      <c r="K99" s="183">
        <f t="shared" ref="K99:O110" si="19">+IF($B99&lt;=K$5-K$17,K$30,0)+ IF($B99=K$5,K$21,0)</f>
        <v>0</v>
      </c>
      <c r="L99" s="183">
        <f t="shared" si="19"/>
        <v>0</v>
      </c>
      <c r="M99" s="183">
        <f t="shared" si="19"/>
        <v>0</v>
      </c>
      <c r="N99" s="183">
        <f t="shared" si="19"/>
        <v>0</v>
      </c>
      <c r="O99" s="183">
        <f t="shared" si="19"/>
        <v>50426.204075025176</v>
      </c>
      <c r="P99" s="140"/>
      <c r="Q99" s="140"/>
      <c r="R99" s="143">
        <v>61</v>
      </c>
      <c r="S99" s="183">
        <f t="shared" ref="S99:W110" si="20">+IF($B99&lt;=S$5-S$17,S$30,0)+ IF($B99=S$5,S$21,0)</f>
        <v>0</v>
      </c>
      <c r="T99" s="183">
        <f t="shared" si="20"/>
        <v>0</v>
      </c>
      <c r="U99" s="183">
        <f t="shared" si="20"/>
        <v>0</v>
      </c>
      <c r="V99" s="183">
        <f t="shared" si="20"/>
        <v>0</v>
      </c>
      <c r="W99" s="183">
        <f t="shared" si="20"/>
        <v>58494.396727029212</v>
      </c>
    </row>
    <row r="100" spans="2:23" hidden="1" x14ac:dyDescent="0.2">
      <c r="B100" s="220">
        <v>62</v>
      </c>
      <c r="C100" s="183">
        <f t="shared" si="18"/>
        <v>0</v>
      </c>
      <c r="D100" s="183">
        <f t="shared" si="18"/>
        <v>0</v>
      </c>
      <c r="E100" s="183">
        <f t="shared" si="18"/>
        <v>0</v>
      </c>
      <c r="F100" s="183">
        <f t="shared" si="18"/>
        <v>0</v>
      </c>
      <c r="G100" s="183">
        <f t="shared" si="18"/>
        <v>51370.238451216654</v>
      </c>
      <c r="H100" s="196"/>
      <c r="I100" s="135"/>
      <c r="J100" s="143">
        <v>62</v>
      </c>
      <c r="K100" s="183">
        <f t="shared" si="19"/>
        <v>0</v>
      </c>
      <c r="L100" s="183">
        <f t="shared" si="19"/>
        <v>0</v>
      </c>
      <c r="M100" s="183">
        <f t="shared" si="19"/>
        <v>0</v>
      </c>
      <c r="N100" s="183">
        <f t="shared" si="19"/>
        <v>0</v>
      </c>
      <c r="O100" s="183">
        <f t="shared" si="19"/>
        <v>50426.204075025176</v>
      </c>
      <c r="P100" s="140"/>
      <c r="Q100" s="140"/>
      <c r="R100" s="143">
        <v>62</v>
      </c>
      <c r="S100" s="183">
        <f t="shared" si="20"/>
        <v>0</v>
      </c>
      <c r="T100" s="183">
        <f t="shared" si="20"/>
        <v>0</v>
      </c>
      <c r="U100" s="183">
        <f t="shared" si="20"/>
        <v>0</v>
      </c>
      <c r="V100" s="183">
        <f t="shared" si="20"/>
        <v>0</v>
      </c>
      <c r="W100" s="183">
        <f t="shared" si="20"/>
        <v>58494.396727029212</v>
      </c>
    </row>
    <row r="101" spans="2:23" hidden="1" x14ac:dyDescent="0.2">
      <c r="B101" s="220">
        <v>63</v>
      </c>
      <c r="C101" s="183">
        <f t="shared" si="18"/>
        <v>0</v>
      </c>
      <c r="D101" s="183">
        <f t="shared" si="18"/>
        <v>0</v>
      </c>
      <c r="E101" s="183">
        <f t="shared" si="18"/>
        <v>0</v>
      </c>
      <c r="F101" s="183">
        <f t="shared" si="18"/>
        <v>0</v>
      </c>
      <c r="G101" s="183">
        <f t="shared" si="18"/>
        <v>51370.238451216654</v>
      </c>
      <c r="H101" s="196"/>
      <c r="I101" s="135"/>
      <c r="J101" s="143">
        <v>63</v>
      </c>
      <c r="K101" s="183">
        <f t="shared" si="19"/>
        <v>0</v>
      </c>
      <c r="L101" s="183">
        <f t="shared" si="19"/>
        <v>0</v>
      </c>
      <c r="M101" s="183">
        <f t="shared" si="19"/>
        <v>0</v>
      </c>
      <c r="N101" s="183">
        <f t="shared" si="19"/>
        <v>0</v>
      </c>
      <c r="O101" s="183">
        <f t="shared" si="19"/>
        <v>50426.204075025176</v>
      </c>
      <c r="P101" s="140"/>
      <c r="Q101" s="140"/>
      <c r="R101" s="143">
        <v>63</v>
      </c>
      <c r="S101" s="183">
        <f t="shared" si="20"/>
        <v>0</v>
      </c>
      <c r="T101" s="183">
        <f t="shared" si="20"/>
        <v>0</v>
      </c>
      <c r="U101" s="183">
        <f t="shared" si="20"/>
        <v>0</v>
      </c>
      <c r="V101" s="183">
        <f t="shared" si="20"/>
        <v>0</v>
      </c>
      <c r="W101" s="183">
        <f t="shared" si="20"/>
        <v>58494.396727029212</v>
      </c>
    </row>
    <row r="102" spans="2:23" hidden="1" x14ac:dyDescent="0.2">
      <c r="B102" s="220">
        <v>64</v>
      </c>
      <c r="C102" s="183">
        <f t="shared" si="18"/>
        <v>0</v>
      </c>
      <c r="D102" s="183">
        <f t="shared" si="18"/>
        <v>0</v>
      </c>
      <c r="E102" s="183">
        <f t="shared" si="18"/>
        <v>0</v>
      </c>
      <c r="F102" s="183">
        <f t="shared" si="18"/>
        <v>0</v>
      </c>
      <c r="G102" s="183">
        <f t="shared" si="18"/>
        <v>51370.238451216654</v>
      </c>
      <c r="H102" s="196"/>
      <c r="I102" s="135"/>
      <c r="J102" s="143">
        <v>64</v>
      </c>
      <c r="K102" s="183">
        <f t="shared" si="19"/>
        <v>0</v>
      </c>
      <c r="L102" s="183">
        <f t="shared" si="19"/>
        <v>0</v>
      </c>
      <c r="M102" s="183">
        <f t="shared" si="19"/>
        <v>0</v>
      </c>
      <c r="N102" s="183">
        <f t="shared" si="19"/>
        <v>0</v>
      </c>
      <c r="O102" s="183">
        <f t="shared" si="19"/>
        <v>50426.204075025176</v>
      </c>
      <c r="P102" s="140"/>
      <c r="Q102" s="140"/>
      <c r="R102" s="143">
        <v>64</v>
      </c>
      <c r="S102" s="183">
        <f t="shared" si="20"/>
        <v>0</v>
      </c>
      <c r="T102" s="183">
        <f t="shared" si="20"/>
        <v>0</v>
      </c>
      <c r="U102" s="183">
        <f t="shared" si="20"/>
        <v>0</v>
      </c>
      <c r="V102" s="183">
        <f t="shared" si="20"/>
        <v>0</v>
      </c>
      <c r="W102" s="183">
        <f t="shared" si="20"/>
        <v>58494.396727029212</v>
      </c>
    </row>
    <row r="103" spans="2:23" hidden="1" x14ac:dyDescent="0.2">
      <c r="B103" s="220">
        <v>65</v>
      </c>
      <c r="C103" s="183">
        <f t="shared" si="18"/>
        <v>0</v>
      </c>
      <c r="D103" s="183">
        <f t="shared" si="18"/>
        <v>0</v>
      </c>
      <c r="E103" s="183">
        <f t="shared" si="18"/>
        <v>0</v>
      </c>
      <c r="F103" s="183">
        <f t="shared" si="18"/>
        <v>0</v>
      </c>
      <c r="G103" s="183">
        <f t="shared" si="18"/>
        <v>51370.238451216654</v>
      </c>
      <c r="H103" s="196"/>
      <c r="I103" s="135"/>
      <c r="J103" s="143">
        <v>65</v>
      </c>
      <c r="K103" s="183">
        <f t="shared" si="19"/>
        <v>0</v>
      </c>
      <c r="L103" s="183">
        <f t="shared" si="19"/>
        <v>0</v>
      </c>
      <c r="M103" s="183">
        <f t="shared" si="19"/>
        <v>0</v>
      </c>
      <c r="N103" s="183">
        <f t="shared" si="19"/>
        <v>0</v>
      </c>
      <c r="O103" s="183">
        <f t="shared" si="19"/>
        <v>50426.204075025176</v>
      </c>
      <c r="P103" s="140"/>
      <c r="Q103" s="140"/>
      <c r="R103" s="143">
        <v>65</v>
      </c>
      <c r="S103" s="183">
        <f t="shared" si="20"/>
        <v>0</v>
      </c>
      <c r="T103" s="183">
        <f t="shared" si="20"/>
        <v>0</v>
      </c>
      <c r="U103" s="183">
        <f t="shared" si="20"/>
        <v>0</v>
      </c>
      <c r="V103" s="183">
        <f t="shared" si="20"/>
        <v>0</v>
      </c>
      <c r="W103" s="183">
        <f t="shared" si="20"/>
        <v>58494.396727029212</v>
      </c>
    </row>
    <row r="104" spans="2:23" hidden="1" x14ac:dyDescent="0.2">
      <c r="B104" s="220">
        <v>66</v>
      </c>
      <c r="C104" s="183">
        <f t="shared" si="18"/>
        <v>0</v>
      </c>
      <c r="D104" s="183">
        <f t="shared" si="18"/>
        <v>0</v>
      </c>
      <c r="E104" s="183">
        <f t="shared" si="18"/>
        <v>0</v>
      </c>
      <c r="F104" s="183">
        <f t="shared" si="18"/>
        <v>0</v>
      </c>
      <c r="G104" s="183">
        <f t="shared" si="18"/>
        <v>51370.238451216654</v>
      </c>
      <c r="H104" s="196"/>
      <c r="I104" s="135"/>
      <c r="J104" s="143">
        <v>66</v>
      </c>
      <c r="K104" s="183">
        <f t="shared" si="19"/>
        <v>0</v>
      </c>
      <c r="L104" s="183">
        <f t="shared" si="19"/>
        <v>0</v>
      </c>
      <c r="M104" s="183">
        <f t="shared" si="19"/>
        <v>0</v>
      </c>
      <c r="N104" s="183">
        <f t="shared" si="19"/>
        <v>0</v>
      </c>
      <c r="O104" s="183">
        <f t="shared" si="19"/>
        <v>50426.204075025176</v>
      </c>
      <c r="P104" s="140"/>
      <c r="Q104" s="140"/>
      <c r="R104" s="143">
        <v>66</v>
      </c>
      <c r="S104" s="183">
        <f t="shared" si="20"/>
        <v>0</v>
      </c>
      <c r="T104" s="183">
        <f t="shared" si="20"/>
        <v>0</v>
      </c>
      <c r="U104" s="183">
        <f t="shared" si="20"/>
        <v>0</v>
      </c>
      <c r="V104" s="183">
        <f t="shared" si="20"/>
        <v>0</v>
      </c>
      <c r="W104" s="183">
        <f t="shared" si="20"/>
        <v>58494.396727029212</v>
      </c>
    </row>
    <row r="105" spans="2:23" hidden="1" x14ac:dyDescent="0.2">
      <c r="B105" s="220">
        <v>67</v>
      </c>
      <c r="C105" s="183">
        <f t="shared" si="18"/>
        <v>0</v>
      </c>
      <c r="D105" s="183">
        <f t="shared" si="18"/>
        <v>0</v>
      </c>
      <c r="E105" s="183">
        <f t="shared" si="18"/>
        <v>0</v>
      </c>
      <c r="F105" s="183">
        <f t="shared" si="18"/>
        <v>0</v>
      </c>
      <c r="G105" s="183">
        <f t="shared" si="18"/>
        <v>51370.238451216654</v>
      </c>
      <c r="H105" s="196"/>
      <c r="I105" s="135"/>
      <c r="J105" s="143">
        <v>67</v>
      </c>
      <c r="K105" s="183">
        <f t="shared" si="19"/>
        <v>0</v>
      </c>
      <c r="L105" s="183">
        <f t="shared" si="19"/>
        <v>0</v>
      </c>
      <c r="M105" s="183">
        <f t="shared" si="19"/>
        <v>0</v>
      </c>
      <c r="N105" s="183">
        <f t="shared" si="19"/>
        <v>0</v>
      </c>
      <c r="O105" s="183">
        <f t="shared" si="19"/>
        <v>50426.204075025176</v>
      </c>
      <c r="P105" s="140"/>
      <c r="Q105" s="140"/>
      <c r="R105" s="143">
        <v>67</v>
      </c>
      <c r="S105" s="183">
        <f t="shared" si="20"/>
        <v>0</v>
      </c>
      <c r="T105" s="183">
        <f t="shared" si="20"/>
        <v>0</v>
      </c>
      <c r="U105" s="183">
        <f t="shared" si="20"/>
        <v>0</v>
      </c>
      <c r="V105" s="183">
        <f t="shared" si="20"/>
        <v>0</v>
      </c>
      <c r="W105" s="183">
        <f t="shared" si="20"/>
        <v>58494.396727029212</v>
      </c>
    </row>
    <row r="106" spans="2:23" hidden="1" x14ac:dyDescent="0.2">
      <c r="B106" s="220">
        <v>68</v>
      </c>
      <c r="C106" s="183">
        <f t="shared" si="18"/>
        <v>0</v>
      </c>
      <c r="D106" s="183">
        <f t="shared" si="18"/>
        <v>0</v>
      </c>
      <c r="E106" s="183">
        <f t="shared" si="18"/>
        <v>0</v>
      </c>
      <c r="F106" s="183">
        <f t="shared" si="18"/>
        <v>0</v>
      </c>
      <c r="G106" s="183">
        <f t="shared" si="18"/>
        <v>51370.238451216654</v>
      </c>
      <c r="H106" s="196"/>
      <c r="I106" s="135"/>
      <c r="J106" s="143">
        <v>68</v>
      </c>
      <c r="K106" s="183">
        <f t="shared" si="19"/>
        <v>0</v>
      </c>
      <c r="L106" s="183">
        <f t="shared" si="19"/>
        <v>0</v>
      </c>
      <c r="M106" s="183">
        <f t="shared" si="19"/>
        <v>0</v>
      </c>
      <c r="N106" s="183">
        <f t="shared" si="19"/>
        <v>0</v>
      </c>
      <c r="O106" s="183">
        <f t="shared" si="19"/>
        <v>50426.204075025176</v>
      </c>
      <c r="P106" s="140"/>
      <c r="Q106" s="140"/>
      <c r="R106" s="143">
        <v>68</v>
      </c>
      <c r="S106" s="183">
        <f t="shared" si="20"/>
        <v>0</v>
      </c>
      <c r="T106" s="183">
        <f t="shared" si="20"/>
        <v>0</v>
      </c>
      <c r="U106" s="183">
        <f t="shared" si="20"/>
        <v>0</v>
      </c>
      <c r="V106" s="183">
        <f t="shared" si="20"/>
        <v>0</v>
      </c>
      <c r="W106" s="183">
        <f t="shared" si="20"/>
        <v>58494.396727029212</v>
      </c>
    </row>
    <row r="107" spans="2:23" hidden="1" x14ac:dyDescent="0.2">
      <c r="B107" s="220">
        <v>69</v>
      </c>
      <c r="C107" s="183">
        <f t="shared" si="18"/>
        <v>0</v>
      </c>
      <c r="D107" s="183">
        <f t="shared" si="18"/>
        <v>0</v>
      </c>
      <c r="E107" s="183">
        <f t="shared" si="18"/>
        <v>0</v>
      </c>
      <c r="F107" s="183">
        <f t="shared" si="18"/>
        <v>0</v>
      </c>
      <c r="G107" s="183">
        <f t="shared" si="18"/>
        <v>51370.238451216654</v>
      </c>
      <c r="H107" s="196"/>
      <c r="I107" s="135"/>
      <c r="J107" s="143">
        <v>69</v>
      </c>
      <c r="K107" s="183">
        <f t="shared" si="19"/>
        <v>0</v>
      </c>
      <c r="L107" s="183">
        <f t="shared" si="19"/>
        <v>0</v>
      </c>
      <c r="M107" s="183">
        <f t="shared" si="19"/>
        <v>0</v>
      </c>
      <c r="N107" s="183">
        <f t="shared" si="19"/>
        <v>0</v>
      </c>
      <c r="O107" s="183">
        <f t="shared" si="19"/>
        <v>50426.204075025176</v>
      </c>
      <c r="P107" s="140"/>
      <c r="Q107" s="140"/>
      <c r="R107" s="143">
        <v>69</v>
      </c>
      <c r="S107" s="183">
        <f t="shared" si="20"/>
        <v>0</v>
      </c>
      <c r="T107" s="183">
        <f t="shared" si="20"/>
        <v>0</v>
      </c>
      <c r="U107" s="183">
        <f t="shared" si="20"/>
        <v>0</v>
      </c>
      <c r="V107" s="183">
        <f t="shared" si="20"/>
        <v>0</v>
      </c>
      <c r="W107" s="183">
        <f t="shared" si="20"/>
        <v>58494.396727029212</v>
      </c>
    </row>
    <row r="108" spans="2:23" hidden="1" x14ac:dyDescent="0.2">
      <c r="B108" s="220">
        <v>70</v>
      </c>
      <c r="C108" s="183">
        <f t="shared" si="18"/>
        <v>0</v>
      </c>
      <c r="D108" s="183">
        <f t="shared" si="18"/>
        <v>0</v>
      </c>
      <c r="E108" s="183">
        <f t="shared" si="18"/>
        <v>0</v>
      </c>
      <c r="F108" s="183">
        <f t="shared" si="18"/>
        <v>0</v>
      </c>
      <c r="G108" s="183">
        <f t="shared" si="18"/>
        <v>51370.238451216654</v>
      </c>
      <c r="H108" s="196"/>
      <c r="I108" s="135"/>
      <c r="J108" s="143">
        <v>70</v>
      </c>
      <c r="K108" s="183">
        <f t="shared" si="19"/>
        <v>0</v>
      </c>
      <c r="L108" s="183">
        <f t="shared" si="19"/>
        <v>0</v>
      </c>
      <c r="M108" s="183">
        <f t="shared" si="19"/>
        <v>0</v>
      </c>
      <c r="N108" s="183">
        <f t="shared" si="19"/>
        <v>0</v>
      </c>
      <c r="O108" s="183">
        <f t="shared" si="19"/>
        <v>50426.204075025176</v>
      </c>
      <c r="P108" s="140"/>
      <c r="Q108" s="140"/>
      <c r="R108" s="143">
        <v>70</v>
      </c>
      <c r="S108" s="183">
        <f t="shared" si="20"/>
        <v>0</v>
      </c>
      <c r="T108" s="183">
        <f t="shared" si="20"/>
        <v>0</v>
      </c>
      <c r="U108" s="183">
        <f t="shared" si="20"/>
        <v>0</v>
      </c>
      <c r="V108" s="183">
        <f t="shared" si="20"/>
        <v>0</v>
      </c>
      <c r="W108" s="183">
        <f t="shared" si="20"/>
        <v>58494.396727029212</v>
      </c>
    </row>
    <row r="109" spans="2:23" hidden="1" x14ac:dyDescent="0.2">
      <c r="B109" s="220">
        <v>71</v>
      </c>
      <c r="C109" s="183">
        <f t="shared" si="18"/>
        <v>0</v>
      </c>
      <c r="D109" s="183">
        <f t="shared" si="18"/>
        <v>0</v>
      </c>
      <c r="E109" s="183">
        <f t="shared" si="18"/>
        <v>0</v>
      </c>
      <c r="F109" s="183">
        <f t="shared" si="18"/>
        <v>0</v>
      </c>
      <c r="G109" s="183">
        <f t="shared" si="18"/>
        <v>51370.238451216654</v>
      </c>
      <c r="H109" s="196"/>
      <c r="I109" s="135"/>
      <c r="J109" s="143">
        <v>71</v>
      </c>
      <c r="K109" s="183">
        <f t="shared" si="19"/>
        <v>0</v>
      </c>
      <c r="L109" s="183">
        <f t="shared" si="19"/>
        <v>0</v>
      </c>
      <c r="M109" s="183">
        <f t="shared" si="19"/>
        <v>0</v>
      </c>
      <c r="N109" s="183">
        <f t="shared" si="19"/>
        <v>0</v>
      </c>
      <c r="O109" s="183">
        <f t="shared" si="19"/>
        <v>50426.204075025176</v>
      </c>
      <c r="P109" s="140"/>
      <c r="Q109" s="140"/>
      <c r="R109" s="143">
        <v>71</v>
      </c>
      <c r="S109" s="183">
        <f t="shared" si="20"/>
        <v>0</v>
      </c>
      <c r="T109" s="183">
        <f t="shared" si="20"/>
        <v>0</v>
      </c>
      <c r="U109" s="183">
        <f t="shared" si="20"/>
        <v>0</v>
      </c>
      <c r="V109" s="183">
        <f t="shared" si="20"/>
        <v>0</v>
      </c>
      <c r="W109" s="183">
        <f t="shared" si="20"/>
        <v>58494.396727029212</v>
      </c>
    </row>
    <row r="110" spans="2:23" hidden="1" x14ac:dyDescent="0.2">
      <c r="B110" s="220">
        <v>72</v>
      </c>
      <c r="C110" s="183">
        <f t="shared" si="18"/>
        <v>0</v>
      </c>
      <c r="D110" s="183">
        <f t="shared" si="18"/>
        <v>0</v>
      </c>
      <c r="E110" s="183">
        <f t="shared" si="18"/>
        <v>0</v>
      </c>
      <c r="F110" s="183">
        <f t="shared" si="18"/>
        <v>0</v>
      </c>
      <c r="G110" s="183">
        <f t="shared" si="18"/>
        <v>544645.96258914773</v>
      </c>
      <c r="H110" s="196"/>
      <c r="I110" s="135"/>
      <c r="J110" s="143">
        <v>72</v>
      </c>
      <c r="K110" s="183">
        <f t="shared" si="19"/>
        <v>0</v>
      </c>
      <c r="L110" s="183">
        <f t="shared" si="19"/>
        <v>0</v>
      </c>
      <c r="M110" s="183">
        <f t="shared" si="19"/>
        <v>0</v>
      </c>
      <c r="N110" s="183">
        <f t="shared" si="19"/>
        <v>0</v>
      </c>
      <c r="O110" s="183">
        <f t="shared" si="19"/>
        <v>77830.410971576901</v>
      </c>
      <c r="P110" s="140"/>
      <c r="Q110" s="140"/>
      <c r="R110" s="143">
        <v>72</v>
      </c>
      <c r="S110" s="183">
        <f t="shared" si="20"/>
        <v>0</v>
      </c>
      <c r="T110" s="183">
        <f t="shared" si="20"/>
        <v>0</v>
      </c>
      <c r="U110" s="183">
        <f t="shared" si="20"/>
        <v>0</v>
      </c>
      <c r="V110" s="183">
        <f t="shared" si="20"/>
        <v>0</v>
      </c>
      <c r="W110" s="183">
        <f t="shared" si="20"/>
        <v>58494.396727029212</v>
      </c>
    </row>
    <row r="111" spans="2:23" hidden="1" x14ac:dyDescent="0.2">
      <c r="B111" s="220"/>
      <c r="C111" s="183"/>
      <c r="D111" s="183"/>
      <c r="E111" s="183"/>
      <c r="F111" s="183"/>
      <c r="G111" s="183"/>
      <c r="H111" s="196"/>
      <c r="I111" s="135"/>
      <c r="J111" s="143"/>
      <c r="K111" s="183"/>
      <c r="L111" s="183"/>
      <c r="M111" s="183"/>
      <c r="N111" s="183"/>
      <c r="O111" s="183"/>
      <c r="P111" s="140"/>
      <c r="Q111" s="140"/>
      <c r="R111" s="143"/>
      <c r="S111" s="183"/>
      <c r="T111" s="183"/>
      <c r="U111" s="183"/>
      <c r="V111" s="183"/>
      <c r="W111" s="183"/>
    </row>
    <row r="112" spans="2:23" hidden="1" x14ac:dyDescent="0.2">
      <c r="B112" s="220"/>
      <c r="C112" s="183"/>
      <c r="D112" s="183"/>
      <c r="E112" s="183"/>
      <c r="F112" s="183"/>
      <c r="G112" s="183"/>
      <c r="H112" s="196"/>
      <c r="I112" s="135"/>
      <c r="J112" s="143"/>
      <c r="K112" s="183"/>
      <c r="L112" s="183"/>
      <c r="M112" s="183"/>
      <c r="N112" s="183"/>
      <c r="O112" s="183"/>
      <c r="P112" s="140"/>
      <c r="Q112" s="140"/>
      <c r="R112" s="143"/>
      <c r="S112" s="183"/>
      <c r="T112" s="183"/>
      <c r="U112" s="183"/>
      <c r="V112" s="183"/>
      <c r="W112" s="183"/>
    </row>
    <row r="113" spans="2:23" hidden="1" x14ac:dyDescent="0.2">
      <c r="B113" s="220"/>
      <c r="C113" s="183"/>
      <c r="D113" s="183"/>
      <c r="E113" s="183"/>
      <c r="F113" s="183"/>
      <c r="G113" s="183"/>
      <c r="H113" s="196"/>
      <c r="I113" s="135"/>
      <c r="J113" s="143"/>
      <c r="K113" s="183"/>
      <c r="L113" s="183"/>
      <c r="M113" s="183"/>
      <c r="N113" s="183"/>
      <c r="O113" s="183"/>
      <c r="P113" s="140"/>
      <c r="Q113" s="140"/>
      <c r="R113" s="143"/>
      <c r="S113" s="183"/>
      <c r="T113" s="183"/>
      <c r="U113" s="183"/>
      <c r="V113" s="183"/>
      <c r="W113" s="183"/>
    </row>
    <row r="114" spans="2:23" hidden="1" x14ac:dyDescent="0.2">
      <c r="B114" s="220"/>
      <c r="C114" s="183"/>
      <c r="D114" s="183"/>
      <c r="E114" s="183"/>
      <c r="F114" s="183"/>
      <c r="G114" s="183"/>
      <c r="H114" s="196"/>
      <c r="I114" s="135"/>
      <c r="J114" s="143"/>
      <c r="K114" s="183"/>
      <c r="L114" s="183"/>
      <c r="M114" s="183"/>
      <c r="N114" s="183"/>
      <c r="O114" s="183"/>
      <c r="P114" s="140"/>
      <c r="Q114" s="140"/>
      <c r="R114" s="143"/>
      <c r="S114" s="183"/>
      <c r="T114" s="183"/>
      <c r="U114" s="183"/>
      <c r="V114" s="183"/>
      <c r="W114" s="183"/>
    </row>
    <row r="115" spans="2:23" hidden="1" x14ac:dyDescent="0.2">
      <c r="B115" s="220"/>
      <c r="C115" s="183"/>
      <c r="D115" s="183"/>
      <c r="E115" s="183"/>
      <c r="F115" s="183"/>
      <c r="G115" s="183"/>
      <c r="H115" s="196"/>
      <c r="I115" s="135"/>
      <c r="J115" s="143"/>
      <c r="K115" s="183"/>
      <c r="L115" s="183"/>
      <c r="M115" s="183"/>
      <c r="N115" s="183"/>
      <c r="O115" s="183"/>
      <c r="P115" s="140"/>
      <c r="Q115" s="140"/>
      <c r="R115" s="143"/>
      <c r="S115" s="183"/>
      <c r="T115" s="183"/>
      <c r="U115" s="183"/>
      <c r="V115" s="183"/>
      <c r="W115" s="183"/>
    </row>
    <row r="116" spans="2:23" hidden="1" x14ac:dyDescent="0.2">
      <c r="B116" s="220"/>
      <c r="C116" s="183"/>
      <c r="D116" s="183"/>
      <c r="E116" s="183"/>
      <c r="F116" s="183"/>
      <c r="G116" s="183"/>
      <c r="H116" s="196"/>
      <c r="I116" s="135"/>
      <c r="J116" s="143"/>
      <c r="K116" s="183"/>
      <c r="L116" s="183"/>
      <c r="M116" s="183"/>
      <c r="N116" s="183"/>
      <c r="O116" s="183"/>
      <c r="P116" s="140"/>
      <c r="Q116" s="140"/>
      <c r="R116" s="143"/>
      <c r="S116" s="183"/>
      <c r="T116" s="183"/>
      <c r="U116" s="183"/>
      <c r="V116" s="183"/>
      <c r="W116" s="183"/>
    </row>
    <row r="117" spans="2:23" hidden="1" x14ac:dyDescent="0.2">
      <c r="B117" s="220"/>
      <c r="C117" s="183"/>
      <c r="D117" s="183"/>
      <c r="E117" s="183"/>
      <c r="F117" s="183"/>
      <c r="G117" s="183"/>
      <c r="H117" s="196"/>
      <c r="I117" s="135"/>
      <c r="J117" s="143"/>
      <c r="K117" s="183"/>
      <c r="L117" s="183"/>
      <c r="M117" s="183"/>
      <c r="N117" s="183"/>
      <c r="O117" s="183"/>
      <c r="P117" s="140"/>
      <c r="Q117" s="140"/>
      <c r="R117" s="143"/>
      <c r="S117" s="183"/>
      <c r="T117" s="183"/>
      <c r="U117" s="183"/>
      <c r="V117" s="183"/>
      <c r="W117" s="183"/>
    </row>
    <row r="118" spans="2:23" hidden="1" x14ac:dyDescent="0.2">
      <c r="B118" s="220"/>
      <c r="C118" s="183"/>
      <c r="D118" s="183"/>
      <c r="E118" s="183"/>
      <c r="F118" s="183"/>
      <c r="G118" s="183"/>
      <c r="H118" s="196"/>
      <c r="I118" s="135"/>
      <c r="J118" s="143"/>
      <c r="K118" s="183"/>
      <c r="L118" s="183"/>
      <c r="M118" s="183"/>
      <c r="N118" s="183"/>
      <c r="O118" s="183"/>
      <c r="P118" s="140"/>
      <c r="Q118" s="140"/>
      <c r="R118" s="143"/>
      <c r="S118" s="183"/>
      <c r="T118" s="183"/>
      <c r="U118" s="183"/>
      <c r="V118" s="183"/>
      <c r="W118" s="183"/>
    </row>
    <row r="119" spans="2:23" hidden="1" x14ac:dyDescent="0.2">
      <c r="B119" s="220"/>
      <c r="C119" s="183"/>
      <c r="D119" s="183"/>
      <c r="E119" s="183"/>
      <c r="F119" s="183"/>
      <c r="G119" s="183"/>
      <c r="H119" s="196"/>
      <c r="I119" s="135"/>
      <c r="J119" s="143"/>
      <c r="K119" s="183"/>
      <c r="L119" s="183"/>
      <c r="M119" s="183"/>
      <c r="N119" s="183"/>
      <c r="O119" s="183"/>
      <c r="P119" s="140"/>
      <c r="Q119" s="140"/>
      <c r="R119" s="143"/>
      <c r="S119" s="183"/>
      <c r="T119" s="183"/>
      <c r="U119" s="183"/>
      <c r="V119" s="183"/>
      <c r="W119" s="183"/>
    </row>
    <row r="120" spans="2:23" hidden="1" x14ac:dyDescent="0.2">
      <c r="H120" s="145"/>
      <c r="Q120" s="140"/>
    </row>
    <row r="121" spans="2:23" hidden="1" x14ac:dyDescent="0.2"/>
    <row r="122" spans="2:23" hidden="1" x14ac:dyDescent="0.2"/>
    <row r="123" spans="2:23" hidden="1" x14ac:dyDescent="0.2"/>
    <row r="124" spans="2:23" hidden="1" x14ac:dyDescent="0.2"/>
    <row r="125" spans="2:23" hidden="1" x14ac:dyDescent="0.2"/>
    <row r="126" spans="2:23" hidden="1" x14ac:dyDescent="0.2"/>
    <row r="127" spans="2:23" hidden="1" x14ac:dyDescent="0.2"/>
    <row r="128" spans="2:23"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sheetData>
  <sheetProtection algorithmName="SHA-512" hashValue="LH6hb7wWQlya4aq/mISvsk3uCWoArSyJUoIRHtf6E03G4a8Rk7oxwVvbgrxK8Xis9nOna8htcB3XOXoz6rbI+g==" saltValue="u1IHBB7n0XQrQB3IUDJ9CA==" spinCount="100000" sheet="1" objects="1" scenarios="1" selectLockedCells="1"/>
  <dataConsolidate/>
  <mergeCells count="3">
    <mergeCell ref="C4:G4"/>
    <mergeCell ref="K4:O4"/>
    <mergeCell ref="S4:W4"/>
  </mergeCells>
  <phoneticPr fontId="14"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77"/>
  <sheetViews>
    <sheetView topLeftCell="A65" zoomScaleNormal="100" workbookViewId="0">
      <selection sqref="A1:XFD64"/>
    </sheetView>
  </sheetViews>
  <sheetFormatPr baseColWidth="10" defaultColWidth="9.140625" defaultRowHeight="11.25" x14ac:dyDescent="0.2"/>
  <cols>
    <col min="1" max="1" width="2.5703125" style="2" bestFit="1" customWidth="1"/>
    <col min="2" max="2" width="26" style="2" customWidth="1"/>
    <col min="3" max="3" width="19.85546875" style="2" customWidth="1"/>
    <col min="4" max="4" width="22.42578125" style="2" bestFit="1" customWidth="1"/>
    <col min="5" max="5" width="13.140625" style="2" customWidth="1"/>
    <col min="6" max="6" width="6" style="2" customWidth="1"/>
    <col min="7" max="7" width="21.42578125" style="2" customWidth="1"/>
    <col min="8" max="8" width="9" style="2" bestFit="1" customWidth="1"/>
    <col min="9" max="9" width="10.140625" style="2" bestFit="1" customWidth="1"/>
    <col min="10" max="12" width="7.42578125" style="2" customWidth="1"/>
    <col min="13" max="13" width="8.85546875" style="2" customWidth="1"/>
    <col min="14" max="14" width="8" style="2" bestFit="1" customWidth="1"/>
    <col min="15" max="15" width="9" style="2" bestFit="1" customWidth="1"/>
    <col min="16" max="17" width="7.42578125" style="2" customWidth="1"/>
    <col min="18" max="18" width="8.42578125" style="2" customWidth="1"/>
    <col min="19" max="19" width="9" style="2" bestFit="1" customWidth="1"/>
    <col min="20" max="21" width="7.42578125" style="2" customWidth="1"/>
    <col min="22" max="22" width="9.140625" style="2" customWidth="1"/>
    <col min="23" max="23" width="13.85546875" style="2" customWidth="1"/>
    <col min="24" max="24" width="7.85546875" style="2" customWidth="1"/>
    <col min="25" max="25" width="20.140625" style="2" bestFit="1" customWidth="1"/>
    <col min="26" max="26" width="23.85546875" style="2" bestFit="1" customWidth="1"/>
    <col min="27" max="27" width="25" style="2" customWidth="1"/>
    <col min="28" max="28" width="30.85546875" style="2" bestFit="1" customWidth="1"/>
    <col min="29" max="29" width="12.140625" style="2" customWidth="1"/>
    <col min="30" max="16384" width="9.140625" style="2"/>
  </cols>
  <sheetData>
    <row r="1" spans="1:29" hidden="1" x14ac:dyDescent="0.2"/>
    <row r="2" spans="1:29" ht="12" hidden="1" thickBot="1" x14ac:dyDescent="0.25">
      <c r="A2" s="1"/>
      <c r="B2" s="404" t="s">
        <v>210</v>
      </c>
      <c r="C2" s="405" t="str">
        <f ca="1">"Catalogos!B4:B" &amp; (21-COUNTBLANK(B4:B21))</f>
        <v>Catalogos!B4:B4</v>
      </c>
      <c r="D2" s="4"/>
      <c r="E2" s="4"/>
      <c r="W2" s="1"/>
      <c r="X2" s="1"/>
      <c r="Y2" s="1"/>
      <c r="Z2" s="1"/>
      <c r="AA2" s="1"/>
      <c r="AB2" s="1"/>
      <c r="AC2" s="1"/>
    </row>
    <row r="3" spans="1:29" ht="22.5" hidden="1" customHeight="1" thickBot="1" x14ac:dyDescent="0.25">
      <c r="A3" s="411">
        <v>2</v>
      </c>
      <c r="B3" s="406" t="s">
        <v>32</v>
      </c>
      <c r="C3" s="407" t="s">
        <v>34</v>
      </c>
      <c r="D3" s="407" t="s">
        <v>35</v>
      </c>
      <c r="E3" s="408" t="s">
        <v>98</v>
      </c>
      <c r="H3" s="731" t="s">
        <v>76</v>
      </c>
      <c r="I3" s="732"/>
      <c r="J3" s="732"/>
      <c r="K3" s="732"/>
      <c r="L3" s="733"/>
      <c r="N3" s="731" t="s">
        <v>77</v>
      </c>
      <c r="O3" s="732"/>
      <c r="P3" s="732"/>
      <c r="Q3" s="732"/>
      <c r="R3" s="733"/>
      <c r="W3" s="32" t="s">
        <v>206</v>
      </c>
      <c r="X3" s="32" t="s">
        <v>209</v>
      </c>
      <c r="Y3" s="32" t="s">
        <v>96</v>
      </c>
      <c r="Z3" s="32" t="s">
        <v>97</v>
      </c>
      <c r="AA3" s="32" t="s">
        <v>98</v>
      </c>
      <c r="AB3" s="32" t="s">
        <v>99</v>
      </c>
      <c r="AC3" s="32" t="s">
        <v>100</v>
      </c>
    </row>
    <row r="4" spans="1:29" ht="12.75" hidden="1" thickBot="1" x14ac:dyDescent="0.25">
      <c r="A4" s="412">
        <f ca="1">IFERROR(MATCH("SI",INDIRECT("w" &amp;A3+1 &amp;":W35"),0)+A3,"")</f>
        <v>22</v>
      </c>
      <c r="B4" s="409" t="str">
        <f ca="1">IF($A4&lt;&gt;"",INDIRECT("y"&amp;$A4),"")</f>
        <v>Jessica  Robles Mercado</v>
      </c>
      <c r="C4" s="409" t="str">
        <f ca="1">IF($A4&lt;&gt;"",INDIRECT("z"&amp;$A4),"")</f>
        <v>5337-0000 Ext. 6559</v>
      </c>
      <c r="D4" s="410" t="str">
        <f ca="1">IF($A4&lt;&gt;"",INDIRECT("AB"&amp;$A4),"")</f>
        <v>jessica.robles@banregio.com</v>
      </c>
      <c r="E4" s="409">
        <f ca="1">IF($A4&lt;&gt;"",INDIRECT("AA"&amp;$A4),"")</f>
        <v>0</v>
      </c>
      <c r="H4" s="437" t="s">
        <v>75</v>
      </c>
      <c r="I4" s="436" t="s">
        <v>78</v>
      </c>
      <c r="J4" s="438" t="s">
        <v>79</v>
      </c>
      <c r="K4" s="438" t="s">
        <v>80</v>
      </c>
      <c r="L4" s="437" t="s">
        <v>81</v>
      </c>
      <c r="N4" s="437" t="s">
        <v>75</v>
      </c>
      <c r="O4" s="436" t="s">
        <v>78</v>
      </c>
      <c r="P4" s="438" t="s">
        <v>79</v>
      </c>
      <c r="Q4" s="438" t="s">
        <v>80</v>
      </c>
      <c r="R4" s="437" t="s">
        <v>81</v>
      </c>
      <c r="W4" s="33" t="s">
        <v>207</v>
      </c>
      <c r="X4" s="34">
        <f>ROW()</f>
        <v>4</v>
      </c>
      <c r="Y4" s="30" t="s">
        <v>101</v>
      </c>
      <c r="Z4" s="30" t="s">
        <v>102</v>
      </c>
      <c r="AA4" s="30"/>
      <c r="AB4" s="30" t="s">
        <v>103</v>
      </c>
      <c r="AC4" s="30" t="s">
        <v>104</v>
      </c>
    </row>
    <row r="5" spans="1:29" ht="12" hidden="1" x14ac:dyDescent="0.2">
      <c r="A5" s="412" t="str">
        <f t="shared" ref="A5:A21" ca="1" si="0">IFERROR(MATCH("SI",INDIRECT("w" &amp;A4+1 &amp;":W35"),0)+A4,"")</f>
        <v/>
      </c>
      <c r="B5" s="409" t="str">
        <f t="shared" ref="B5:B21" ca="1" si="1">IF($A5&lt;&gt;"",INDIRECT("y"&amp;$A5),"")</f>
        <v/>
      </c>
      <c r="C5" s="409" t="str">
        <f t="shared" ref="C5:C21" ca="1" si="2">IF($A5&lt;&gt;"",INDIRECT("z"&amp;$A5),"")</f>
        <v/>
      </c>
      <c r="D5" s="410" t="str">
        <f t="shared" ref="D5:D21" ca="1" si="3">IF($A5&lt;&gt;"",INDIRECT("AB"&amp;$A5),"")</f>
        <v/>
      </c>
      <c r="E5" s="409" t="str">
        <f t="shared" ref="E5:E21" ca="1" si="4">IF($A5&lt;&gt;"",INDIRECT("AA"&amp;$A5),"")</f>
        <v/>
      </c>
      <c r="H5" s="340">
        <v>12</v>
      </c>
      <c r="I5" s="442">
        <v>1</v>
      </c>
      <c r="J5" s="324">
        <v>0.13100000000000001</v>
      </c>
      <c r="K5" s="324">
        <v>0.13100000000000001</v>
      </c>
      <c r="L5" s="324">
        <v>0.13100000000000001</v>
      </c>
      <c r="N5" s="340">
        <v>12</v>
      </c>
      <c r="O5" s="442">
        <v>1</v>
      </c>
      <c r="P5" s="324">
        <v>7.4999999999999997E-2</v>
      </c>
      <c r="Q5" s="325">
        <v>7.2499999999999995E-2</v>
      </c>
      <c r="R5" s="326">
        <v>6.9999999999999993E-2</v>
      </c>
      <c r="W5" s="33" t="s">
        <v>207</v>
      </c>
      <c r="X5" s="34">
        <f>ROW()</f>
        <v>5</v>
      </c>
      <c r="Y5" s="30" t="s">
        <v>105</v>
      </c>
      <c r="Z5" s="30" t="s">
        <v>106</v>
      </c>
      <c r="AA5" s="30" t="s">
        <v>107</v>
      </c>
      <c r="AB5" s="30" t="s">
        <v>108</v>
      </c>
      <c r="AC5" s="30" t="s">
        <v>104</v>
      </c>
    </row>
    <row r="6" spans="1:29" ht="12" hidden="1" x14ac:dyDescent="0.2">
      <c r="A6" s="412" t="str">
        <f t="shared" ca="1" si="0"/>
        <v/>
      </c>
      <c r="B6" s="409" t="str">
        <f t="shared" ca="1" si="1"/>
        <v/>
      </c>
      <c r="C6" s="409" t="str">
        <f t="shared" ca="1" si="2"/>
        <v/>
      </c>
      <c r="D6" s="410" t="str">
        <f t="shared" ca="1" si="3"/>
        <v/>
      </c>
      <c r="E6" s="409" t="str">
        <f t="shared" ca="1" si="4"/>
        <v/>
      </c>
      <c r="H6" s="341">
        <v>24</v>
      </c>
      <c r="I6" s="323">
        <v>2</v>
      </c>
      <c r="J6" s="327">
        <v>0.13100000000000001</v>
      </c>
      <c r="K6" s="327">
        <v>0.13100000000000001</v>
      </c>
      <c r="L6" s="327">
        <v>0.13100000000000001</v>
      </c>
      <c r="N6" s="341">
        <v>24</v>
      </c>
      <c r="O6" s="323">
        <v>2</v>
      </c>
      <c r="P6" s="327">
        <v>7.7600000000000002E-2</v>
      </c>
      <c r="Q6" s="328">
        <v>7.51E-2</v>
      </c>
      <c r="R6" s="329">
        <v>7.2599999999999998E-2</v>
      </c>
      <c r="W6" s="33" t="s">
        <v>207</v>
      </c>
      <c r="X6" s="34">
        <f>ROW()</f>
        <v>6</v>
      </c>
      <c r="Y6" s="30" t="s">
        <v>109</v>
      </c>
      <c r="Z6" s="30" t="s">
        <v>110</v>
      </c>
      <c r="AA6" s="30"/>
      <c r="AB6" s="30" t="s">
        <v>111</v>
      </c>
      <c r="AC6" s="30" t="s">
        <v>104</v>
      </c>
    </row>
    <row r="7" spans="1:29" ht="12" hidden="1" x14ac:dyDescent="0.2">
      <c r="A7" s="412" t="str">
        <f t="shared" ca="1" si="0"/>
        <v/>
      </c>
      <c r="B7" s="409" t="str">
        <f t="shared" ca="1" si="1"/>
        <v/>
      </c>
      <c r="C7" s="409" t="str">
        <f t="shared" ca="1" si="2"/>
        <v/>
      </c>
      <c r="D7" s="410" t="str">
        <f t="shared" ca="1" si="3"/>
        <v/>
      </c>
      <c r="E7" s="409" t="str">
        <f t="shared" ca="1" si="4"/>
        <v/>
      </c>
      <c r="H7" s="341">
        <v>36</v>
      </c>
      <c r="I7" s="323">
        <v>3</v>
      </c>
      <c r="J7" s="330">
        <v>0.13100000000000001</v>
      </c>
      <c r="K7" s="330">
        <v>0.13100000000000001</v>
      </c>
      <c r="L7" s="330">
        <v>0.13100000000000001</v>
      </c>
      <c r="N7" s="341">
        <v>36</v>
      </c>
      <c r="O7" s="323">
        <v>3</v>
      </c>
      <c r="P7" s="330">
        <v>0.08</v>
      </c>
      <c r="Q7" s="331">
        <v>7.7499999999999999E-2</v>
      </c>
      <c r="R7" s="332">
        <v>7.4999999999999997E-2</v>
      </c>
      <c r="W7" s="33" t="s">
        <v>207</v>
      </c>
      <c r="X7" s="34">
        <f>ROW()</f>
        <v>7</v>
      </c>
      <c r="Y7" s="30" t="s">
        <v>112</v>
      </c>
      <c r="Z7" s="30" t="s">
        <v>113</v>
      </c>
      <c r="AA7" s="30" t="s">
        <v>114</v>
      </c>
      <c r="AB7" s="30" t="s">
        <v>115</v>
      </c>
      <c r="AC7" s="30" t="s">
        <v>116</v>
      </c>
    </row>
    <row r="8" spans="1:29" ht="12" hidden="1" x14ac:dyDescent="0.2">
      <c r="A8" s="412" t="str">
        <f t="shared" ca="1" si="0"/>
        <v/>
      </c>
      <c r="B8" s="409" t="str">
        <f t="shared" ca="1" si="1"/>
        <v/>
      </c>
      <c r="C8" s="409" t="str">
        <f t="shared" ca="1" si="2"/>
        <v/>
      </c>
      <c r="D8" s="410" t="str">
        <f t="shared" ca="1" si="3"/>
        <v/>
      </c>
      <c r="E8" s="409" t="str">
        <f t="shared" ca="1" si="4"/>
        <v/>
      </c>
      <c r="H8" s="342">
        <v>48</v>
      </c>
      <c r="I8" s="343">
        <v>4</v>
      </c>
      <c r="J8" s="344">
        <v>0.13100000000000001</v>
      </c>
      <c r="K8" s="344">
        <v>0.13100000000000001</v>
      </c>
      <c r="L8" s="344">
        <v>0.13100000000000001</v>
      </c>
      <c r="N8" s="342">
        <v>48</v>
      </c>
      <c r="O8" s="343">
        <v>4</v>
      </c>
      <c r="P8" s="344">
        <v>8.2500000000000004E-2</v>
      </c>
      <c r="Q8" s="345">
        <v>0.08</v>
      </c>
      <c r="R8" s="346">
        <v>7.7499999999999999E-2</v>
      </c>
      <c r="W8" s="33" t="s">
        <v>207</v>
      </c>
      <c r="X8" s="34">
        <f>ROW()</f>
        <v>8</v>
      </c>
      <c r="Y8" s="30" t="s">
        <v>117</v>
      </c>
      <c r="Z8" s="30" t="s">
        <v>118</v>
      </c>
      <c r="AA8" s="30" t="s">
        <v>119</v>
      </c>
      <c r="AB8" s="30" t="s">
        <v>120</v>
      </c>
      <c r="AC8" s="30" t="s">
        <v>121</v>
      </c>
    </row>
    <row r="9" spans="1:29" ht="12" hidden="1" x14ac:dyDescent="0.2">
      <c r="A9" s="412" t="str">
        <f t="shared" ca="1" si="0"/>
        <v/>
      </c>
      <c r="B9" s="409" t="str">
        <f t="shared" ca="1" si="1"/>
        <v/>
      </c>
      <c r="C9" s="409" t="str">
        <f t="shared" ca="1" si="2"/>
        <v/>
      </c>
      <c r="D9" s="410" t="str">
        <f t="shared" ca="1" si="3"/>
        <v/>
      </c>
      <c r="E9" s="409" t="str">
        <f t="shared" ca="1" si="4"/>
        <v/>
      </c>
      <c r="H9" s="341">
        <v>60</v>
      </c>
      <c r="I9" s="323">
        <v>5</v>
      </c>
      <c r="J9" s="327">
        <v>0.13100000000000001</v>
      </c>
      <c r="K9" s="327">
        <v>0.13100000000000001</v>
      </c>
      <c r="L9" s="327">
        <v>0.13100000000000001</v>
      </c>
      <c r="N9" s="341">
        <v>60</v>
      </c>
      <c r="O9" s="323">
        <v>5</v>
      </c>
      <c r="P9" s="327">
        <v>8.4699999999999998E-2</v>
      </c>
      <c r="Q9" s="328">
        <v>8.2199999999999995E-2</v>
      </c>
      <c r="R9" s="329">
        <v>7.9699999999999993E-2</v>
      </c>
      <c r="W9" s="33" t="s">
        <v>207</v>
      </c>
      <c r="X9" s="34">
        <f>ROW()</f>
        <v>9</v>
      </c>
      <c r="Y9" s="30" t="s">
        <v>122</v>
      </c>
      <c r="Z9" s="30" t="s">
        <v>123</v>
      </c>
      <c r="AA9" s="30" t="s">
        <v>124</v>
      </c>
      <c r="AB9" s="30" t="s">
        <v>125</v>
      </c>
      <c r="AC9" s="30" t="s">
        <v>116</v>
      </c>
    </row>
    <row r="10" spans="1:29" ht="22.5" hidden="1" x14ac:dyDescent="0.2">
      <c r="A10" s="412" t="str">
        <f t="shared" ca="1" si="0"/>
        <v/>
      </c>
      <c r="B10" s="409" t="str">
        <f t="shared" ca="1" si="1"/>
        <v/>
      </c>
      <c r="C10" s="409" t="str">
        <f t="shared" ca="1" si="2"/>
        <v/>
      </c>
      <c r="D10" s="410" t="str">
        <f t="shared" ca="1" si="3"/>
        <v/>
      </c>
      <c r="E10" s="409" t="str">
        <f t="shared" ca="1" si="4"/>
        <v/>
      </c>
      <c r="H10" s="341">
        <v>72</v>
      </c>
      <c r="I10" s="333">
        <v>6</v>
      </c>
      <c r="J10" s="334">
        <v>0.13100000000000001</v>
      </c>
      <c r="K10" s="334">
        <v>0.13100000000000001</v>
      </c>
      <c r="L10" s="334">
        <v>0.13100000000000001</v>
      </c>
      <c r="N10" s="341">
        <v>72</v>
      </c>
      <c r="O10" s="333">
        <v>6</v>
      </c>
      <c r="P10" s="334">
        <v>8.4699999999999998E-2</v>
      </c>
      <c r="Q10" s="335">
        <v>8.2199999999999995E-2</v>
      </c>
      <c r="R10" s="336">
        <v>7.9699999999999993E-2</v>
      </c>
      <c r="W10" s="33" t="s">
        <v>207</v>
      </c>
      <c r="X10" s="34">
        <f>ROW()</f>
        <v>10</v>
      </c>
      <c r="Y10" s="30" t="s">
        <v>226</v>
      </c>
      <c r="Z10" s="30" t="s">
        <v>199</v>
      </c>
      <c r="AA10" s="30" t="s">
        <v>227</v>
      </c>
      <c r="AB10" s="30" t="s">
        <v>228</v>
      </c>
      <c r="AC10" s="30" t="s">
        <v>104</v>
      </c>
    </row>
    <row r="11" spans="1:29" ht="12" hidden="1" x14ac:dyDescent="0.2">
      <c r="A11" s="412" t="str">
        <f t="shared" ca="1" si="0"/>
        <v/>
      </c>
      <c r="B11" s="409" t="str">
        <f t="shared" ca="1" si="1"/>
        <v/>
      </c>
      <c r="C11" s="409" t="str">
        <f t="shared" ca="1" si="2"/>
        <v/>
      </c>
      <c r="D11" s="410" t="str">
        <f t="shared" ca="1" si="3"/>
        <v/>
      </c>
      <c r="E11" s="409" t="str">
        <f t="shared" ca="1" si="4"/>
        <v/>
      </c>
      <c r="H11" s="341">
        <v>84</v>
      </c>
      <c r="I11" s="333">
        <v>7</v>
      </c>
      <c r="J11" s="334">
        <v>0.13100000000000001</v>
      </c>
      <c r="K11" s="334">
        <v>0.13100000000000001</v>
      </c>
      <c r="L11" s="334">
        <v>0.13100000000000001</v>
      </c>
      <c r="N11" s="341">
        <v>84</v>
      </c>
      <c r="O11" s="333">
        <v>7</v>
      </c>
      <c r="P11" s="334">
        <v>8.7500000000000008E-2</v>
      </c>
      <c r="Q11" s="335">
        <v>8.5000000000000006E-2</v>
      </c>
      <c r="R11" s="336">
        <v>8.2500000000000004E-2</v>
      </c>
      <c r="W11" s="33" t="s">
        <v>207</v>
      </c>
      <c r="X11" s="34">
        <f>ROW()</f>
        <v>11</v>
      </c>
      <c r="Y11" s="30" t="s">
        <v>126</v>
      </c>
      <c r="Z11" s="30" t="s">
        <v>89</v>
      </c>
      <c r="AA11" s="30" t="s">
        <v>127</v>
      </c>
      <c r="AB11" s="30" t="s">
        <v>90</v>
      </c>
      <c r="AC11" s="30" t="s">
        <v>104</v>
      </c>
    </row>
    <row r="12" spans="1:29" ht="12.75" hidden="1" thickBot="1" x14ac:dyDescent="0.25">
      <c r="A12" s="412" t="str">
        <f t="shared" ca="1" si="0"/>
        <v/>
      </c>
      <c r="B12" s="409" t="str">
        <f t="shared" ca="1" si="1"/>
        <v/>
      </c>
      <c r="C12" s="409" t="str">
        <f t="shared" ca="1" si="2"/>
        <v/>
      </c>
      <c r="D12" s="410" t="str">
        <f t="shared" ca="1" si="3"/>
        <v/>
      </c>
      <c r="E12" s="409" t="str">
        <f t="shared" ca="1" si="4"/>
        <v/>
      </c>
      <c r="H12" s="347">
        <v>96</v>
      </c>
      <c r="I12" s="443">
        <v>8</v>
      </c>
      <c r="J12" s="337">
        <v>0.13100000000000001</v>
      </c>
      <c r="K12" s="337">
        <v>0.13100000000000001</v>
      </c>
      <c r="L12" s="337">
        <v>0.13100000000000001</v>
      </c>
      <c r="N12" s="347">
        <v>120</v>
      </c>
      <c r="O12" s="443">
        <v>10</v>
      </c>
      <c r="P12" s="337">
        <v>8.9600000000000013E-2</v>
      </c>
      <c r="Q12" s="338">
        <v>8.7100000000000011E-2</v>
      </c>
      <c r="R12" s="339">
        <v>8.4600000000000009E-2</v>
      </c>
      <c r="W12" s="33" t="s">
        <v>207</v>
      </c>
      <c r="X12" s="34">
        <f>ROW()</f>
        <v>12</v>
      </c>
      <c r="Y12" s="30" t="s">
        <v>128</v>
      </c>
      <c r="Z12" s="30" t="s">
        <v>129</v>
      </c>
      <c r="AA12" s="30" t="s">
        <v>130</v>
      </c>
      <c r="AB12" s="30" t="s">
        <v>131</v>
      </c>
      <c r="AC12" s="30" t="s">
        <v>104</v>
      </c>
    </row>
    <row r="13" spans="1:29" ht="12" hidden="1" thickBot="1" x14ac:dyDescent="0.25">
      <c r="A13" s="412" t="str">
        <f t="shared" ca="1" si="0"/>
        <v/>
      </c>
      <c r="B13" s="409" t="str">
        <f t="shared" ca="1" si="1"/>
        <v/>
      </c>
      <c r="C13" s="409" t="str">
        <f t="shared" ca="1" si="2"/>
        <v/>
      </c>
      <c r="D13" s="410" t="str">
        <f t="shared" ca="1" si="3"/>
        <v/>
      </c>
      <c r="E13" s="409" t="str">
        <f t="shared" ca="1" si="4"/>
        <v/>
      </c>
      <c r="H13" s="434" t="s">
        <v>271</v>
      </c>
      <c r="I13" s="435"/>
      <c r="J13" s="439">
        <v>1.4999999999999999E-2</v>
      </c>
      <c r="K13" s="440">
        <v>0.01</v>
      </c>
      <c r="L13" s="441">
        <v>5.0000000000000001E-3</v>
      </c>
      <c r="N13" s="434" t="s">
        <v>271</v>
      </c>
      <c r="O13" s="435"/>
      <c r="P13" s="439">
        <v>1.4999999999999999E-2</v>
      </c>
      <c r="Q13" s="440">
        <v>0.01</v>
      </c>
      <c r="R13" s="441">
        <v>5.0000000000000001E-3</v>
      </c>
      <c r="W13" s="33" t="s">
        <v>207</v>
      </c>
      <c r="X13" s="34">
        <f>ROW()</f>
        <v>13</v>
      </c>
      <c r="Y13" s="30" t="s">
        <v>132</v>
      </c>
      <c r="Z13" s="30" t="s">
        <v>199</v>
      </c>
      <c r="AA13" s="30" t="s">
        <v>133</v>
      </c>
      <c r="AB13" s="30" t="s">
        <v>134</v>
      </c>
      <c r="AC13" s="30" t="s">
        <v>104</v>
      </c>
    </row>
    <row r="14" spans="1:29" hidden="1" x14ac:dyDescent="0.2">
      <c r="A14" s="412" t="str">
        <f t="shared" ca="1" si="0"/>
        <v/>
      </c>
      <c r="B14" s="409" t="str">
        <f t="shared" ca="1" si="1"/>
        <v/>
      </c>
      <c r="C14" s="409" t="str">
        <f t="shared" ca="1" si="2"/>
        <v/>
      </c>
      <c r="D14" s="410" t="str">
        <f t="shared" ca="1" si="3"/>
        <v/>
      </c>
      <c r="E14" s="409" t="str">
        <f t="shared" ca="1" si="4"/>
        <v/>
      </c>
      <c r="W14" s="33" t="s">
        <v>207</v>
      </c>
      <c r="X14" s="34">
        <f>ROW()</f>
        <v>14</v>
      </c>
      <c r="Y14" s="30" t="s">
        <v>135</v>
      </c>
      <c r="Z14" s="30" t="s">
        <v>136</v>
      </c>
      <c r="AA14" s="30"/>
      <c r="AB14" s="30" t="s">
        <v>137</v>
      </c>
      <c r="AC14" s="30" t="s">
        <v>104</v>
      </c>
    </row>
    <row r="15" spans="1:29" hidden="1" x14ac:dyDescent="0.2">
      <c r="A15" s="412" t="str">
        <f t="shared" ca="1" si="0"/>
        <v/>
      </c>
      <c r="B15" s="409" t="str">
        <f t="shared" ca="1" si="1"/>
        <v/>
      </c>
      <c r="C15" s="409" t="str">
        <f t="shared" ca="1" si="2"/>
        <v/>
      </c>
      <c r="D15" s="410" t="str">
        <f t="shared" ca="1" si="3"/>
        <v/>
      </c>
      <c r="E15" s="409" t="str">
        <f t="shared" ca="1" si="4"/>
        <v/>
      </c>
      <c r="W15" s="33" t="s">
        <v>207</v>
      </c>
      <c r="X15" s="34">
        <f>ROW()</f>
        <v>15</v>
      </c>
      <c r="Y15" s="30" t="s">
        <v>138</v>
      </c>
      <c r="Z15" s="30" t="s">
        <v>123</v>
      </c>
      <c r="AA15" s="30"/>
      <c r="AB15" s="30" t="s">
        <v>139</v>
      </c>
      <c r="AC15" s="30" t="s">
        <v>116</v>
      </c>
    </row>
    <row r="16" spans="1:29" hidden="1" x14ac:dyDescent="0.2">
      <c r="A16" s="412" t="str">
        <f t="shared" ca="1" si="0"/>
        <v/>
      </c>
      <c r="B16" s="409" t="str">
        <f t="shared" ca="1" si="1"/>
        <v/>
      </c>
      <c r="C16" s="409" t="str">
        <f t="shared" ca="1" si="2"/>
        <v/>
      </c>
      <c r="D16" s="410" t="str">
        <f t="shared" ca="1" si="3"/>
        <v/>
      </c>
      <c r="E16" s="409" t="str">
        <f t="shared" ca="1" si="4"/>
        <v/>
      </c>
      <c r="W16" s="33" t="s">
        <v>207</v>
      </c>
      <c r="X16" s="34">
        <f>ROW()</f>
        <v>16</v>
      </c>
      <c r="Y16" s="30" t="s">
        <v>140</v>
      </c>
      <c r="Z16" s="30" t="s">
        <v>141</v>
      </c>
      <c r="AA16" s="30" t="s">
        <v>142</v>
      </c>
      <c r="AB16" s="30" t="s">
        <v>143</v>
      </c>
      <c r="AC16" s="30" t="s">
        <v>104</v>
      </c>
    </row>
    <row r="17" spans="1:29" ht="12.75" hidden="1" x14ac:dyDescent="0.2">
      <c r="A17" s="412" t="str">
        <f t="shared" ca="1" si="0"/>
        <v/>
      </c>
      <c r="B17" s="409" t="str">
        <f t="shared" ca="1" si="1"/>
        <v/>
      </c>
      <c r="C17" s="409" t="str">
        <f t="shared" ca="1" si="2"/>
        <v/>
      </c>
      <c r="D17" s="410" t="str">
        <f t="shared" ca="1" si="3"/>
        <v/>
      </c>
      <c r="E17" s="409" t="str">
        <f t="shared" ca="1" si="4"/>
        <v/>
      </c>
      <c r="W17" s="33" t="s">
        <v>207</v>
      </c>
      <c r="X17" s="34">
        <f>ROW()</f>
        <v>17</v>
      </c>
      <c r="Y17" s="30" t="s">
        <v>259</v>
      </c>
      <c r="Z17" s="30" t="s">
        <v>188</v>
      </c>
      <c r="AA17" s="30" t="s">
        <v>260</v>
      </c>
      <c r="AB17" s="353" t="s">
        <v>261</v>
      </c>
      <c r="AC17" s="30" t="s">
        <v>104</v>
      </c>
    </row>
    <row r="18" spans="1:29" hidden="1" x14ac:dyDescent="0.2">
      <c r="A18" s="412" t="str">
        <f t="shared" ca="1" si="0"/>
        <v/>
      </c>
      <c r="B18" s="409" t="str">
        <f t="shared" ca="1" si="1"/>
        <v/>
      </c>
      <c r="C18" s="409" t="str">
        <f t="shared" ca="1" si="2"/>
        <v/>
      </c>
      <c r="D18" s="410" t="str">
        <f t="shared" ca="1" si="3"/>
        <v/>
      </c>
      <c r="E18" s="409" t="str">
        <f t="shared" ca="1" si="4"/>
        <v/>
      </c>
      <c r="W18" s="33" t="s">
        <v>207</v>
      </c>
      <c r="X18" s="34">
        <f>ROW()</f>
        <v>18</v>
      </c>
      <c r="Y18" s="30" t="s">
        <v>144</v>
      </c>
      <c r="Z18" s="30" t="s">
        <v>145</v>
      </c>
      <c r="AA18" s="30"/>
      <c r="AB18" s="30" t="s">
        <v>146</v>
      </c>
      <c r="AC18" s="30" t="s">
        <v>104</v>
      </c>
    </row>
    <row r="19" spans="1:29" ht="18" hidden="1" x14ac:dyDescent="0.2">
      <c r="A19" s="412" t="str">
        <f ca="1">IFERROR(MATCH("SI",INDIRECT("w" &amp;A18+1 &amp;":W35"),0)+A18,"")</f>
        <v/>
      </c>
      <c r="B19" s="409" t="str">
        <f t="shared" ca="1" si="1"/>
        <v/>
      </c>
      <c r="C19" s="409" t="str">
        <f t="shared" ca="1" si="2"/>
        <v/>
      </c>
      <c r="D19" s="410" t="str">
        <f t="shared" ca="1" si="3"/>
        <v/>
      </c>
      <c r="E19" s="409" t="str">
        <f t="shared" ca="1" si="4"/>
        <v/>
      </c>
      <c r="G19" s="734" t="s">
        <v>38</v>
      </c>
      <c r="H19" s="735"/>
      <c r="I19" s="735"/>
      <c r="J19" s="735"/>
      <c r="K19" s="735"/>
      <c r="L19" s="736"/>
      <c r="W19" s="33" t="s">
        <v>207</v>
      </c>
      <c r="X19" s="34">
        <f>ROW()</f>
        <v>19</v>
      </c>
      <c r="Y19" s="30" t="s">
        <v>147</v>
      </c>
      <c r="Z19" s="30">
        <v>53370000</v>
      </c>
      <c r="AA19" s="30" t="s">
        <v>148</v>
      </c>
      <c r="AB19" s="30" t="s">
        <v>149</v>
      </c>
      <c r="AC19" s="30" t="s">
        <v>150</v>
      </c>
    </row>
    <row r="20" spans="1:29" hidden="1" x14ac:dyDescent="0.2">
      <c r="A20" s="412" t="str">
        <f t="shared" ca="1" si="0"/>
        <v/>
      </c>
      <c r="B20" s="409" t="str">
        <f t="shared" ca="1" si="1"/>
        <v/>
      </c>
      <c r="C20" s="409" t="str">
        <f t="shared" ca="1" si="2"/>
        <v/>
      </c>
      <c r="D20" s="410" t="str">
        <f t="shared" ca="1" si="3"/>
        <v/>
      </c>
      <c r="E20" s="409" t="str">
        <f t="shared" ca="1" si="4"/>
        <v/>
      </c>
      <c r="G20" s="413" t="s">
        <v>54</v>
      </c>
      <c r="H20" s="413">
        <f>Field_Plazo1</f>
        <v>24</v>
      </c>
      <c r="I20" s="413">
        <f>Field_Plazo2</f>
        <v>36</v>
      </c>
      <c r="J20" s="413">
        <f>Field_Plazo3</f>
        <v>48</v>
      </c>
      <c r="K20" s="413">
        <f>Field_Plazo4</f>
        <v>60</v>
      </c>
      <c r="L20" s="413">
        <f>Field_Plazo5</f>
        <v>72</v>
      </c>
      <c r="W20" s="33" t="s">
        <v>207</v>
      </c>
      <c r="X20" s="34">
        <f>ROW()</f>
        <v>20</v>
      </c>
      <c r="Y20" s="30" t="s">
        <v>151</v>
      </c>
      <c r="Z20" s="30" t="s">
        <v>152</v>
      </c>
      <c r="AA20" s="30" t="s">
        <v>153</v>
      </c>
      <c r="AB20" s="30" t="s">
        <v>154</v>
      </c>
      <c r="AC20" s="30" t="s">
        <v>104</v>
      </c>
    </row>
    <row r="21" spans="1:29" hidden="1" x14ac:dyDescent="0.2">
      <c r="A21" s="412" t="str">
        <f t="shared" ca="1" si="0"/>
        <v/>
      </c>
      <c r="B21" s="409" t="str">
        <f t="shared" ca="1" si="1"/>
        <v/>
      </c>
      <c r="C21" s="409" t="str">
        <f t="shared" ca="1" si="2"/>
        <v/>
      </c>
      <c r="D21" s="410" t="str">
        <f t="shared" ca="1" si="3"/>
        <v/>
      </c>
      <c r="E21" s="409" t="str">
        <f t="shared" ca="1" si="4"/>
        <v/>
      </c>
      <c r="G21" s="457" t="s">
        <v>287</v>
      </c>
      <c r="H21" s="454">
        <v>0.35</v>
      </c>
      <c r="I21" s="455">
        <v>0.3</v>
      </c>
      <c r="J21" s="455">
        <v>0.25</v>
      </c>
      <c r="K21" s="455">
        <v>0.2</v>
      </c>
      <c r="L21" s="456">
        <v>0.15</v>
      </c>
      <c r="W21" s="33" t="s">
        <v>207</v>
      </c>
      <c r="X21" s="34">
        <f>ROW()</f>
        <v>21</v>
      </c>
      <c r="Y21" s="30" t="s">
        <v>155</v>
      </c>
      <c r="Z21" s="30" t="s">
        <v>156</v>
      </c>
      <c r="AA21" s="30" t="s">
        <v>157</v>
      </c>
      <c r="AB21" s="30" t="s">
        <v>158</v>
      </c>
      <c r="AC21" s="30" t="s">
        <v>104</v>
      </c>
    </row>
    <row r="22" spans="1:29" hidden="1" x14ac:dyDescent="0.2">
      <c r="W22" s="33" t="s">
        <v>208</v>
      </c>
      <c r="X22" s="34">
        <f>ROW()</f>
        <v>22</v>
      </c>
      <c r="Y22" s="30" t="s">
        <v>288</v>
      </c>
      <c r="Z22" s="30" t="s">
        <v>159</v>
      </c>
      <c r="AA22" s="30"/>
      <c r="AB22" s="30" t="s">
        <v>160</v>
      </c>
      <c r="AC22" s="30" t="s">
        <v>104</v>
      </c>
    </row>
    <row r="23" spans="1:29" hidden="1" x14ac:dyDescent="0.2">
      <c r="B23" s="4"/>
      <c r="D23" s="4"/>
      <c r="W23" s="33" t="s">
        <v>207</v>
      </c>
      <c r="X23" s="34">
        <f>ROW()</f>
        <v>23</v>
      </c>
      <c r="Y23" s="30" t="s">
        <v>161</v>
      </c>
      <c r="Z23" s="30" t="s">
        <v>162</v>
      </c>
      <c r="AA23" s="30"/>
      <c r="AB23" s="30" t="s">
        <v>163</v>
      </c>
      <c r="AC23" s="30" t="s">
        <v>104</v>
      </c>
    </row>
    <row r="24" spans="1:29" ht="18.75" hidden="1" customHeight="1" x14ac:dyDescent="0.2">
      <c r="B24" s="416" t="s">
        <v>31</v>
      </c>
      <c r="E24" s="416" t="s">
        <v>30</v>
      </c>
      <c r="G24" s="734" t="s">
        <v>223</v>
      </c>
      <c r="H24" s="735"/>
      <c r="I24" s="735"/>
      <c r="J24" s="735"/>
      <c r="K24" s="735"/>
      <c r="L24" s="736"/>
      <c r="W24" s="33" t="s">
        <v>207</v>
      </c>
      <c r="X24" s="34">
        <f>ROW()</f>
        <v>24</v>
      </c>
      <c r="Y24" s="30" t="s">
        <v>164</v>
      </c>
      <c r="Z24" s="30" t="s">
        <v>165</v>
      </c>
      <c r="AA24" s="30" t="s">
        <v>166</v>
      </c>
      <c r="AB24" s="30" t="s">
        <v>167</v>
      </c>
      <c r="AC24" s="30" t="s">
        <v>104</v>
      </c>
    </row>
    <row r="25" spans="1:29" ht="11.25" hidden="1" customHeight="1" x14ac:dyDescent="0.2">
      <c r="B25" s="417" t="s">
        <v>18</v>
      </c>
      <c r="E25" s="417" t="s">
        <v>40</v>
      </c>
      <c r="G25" s="413" t="s">
        <v>94</v>
      </c>
      <c r="H25" s="413">
        <f>H20</f>
        <v>24</v>
      </c>
      <c r="I25" s="413">
        <f>I20</f>
        <v>36</v>
      </c>
      <c r="J25" s="413">
        <f>J20</f>
        <v>48</v>
      </c>
      <c r="K25" s="413">
        <f>K20</f>
        <v>60</v>
      </c>
      <c r="L25" s="413">
        <f>L20</f>
        <v>72</v>
      </c>
      <c r="W25" s="33" t="s">
        <v>207</v>
      </c>
      <c r="X25" s="34">
        <f>ROW()</f>
        <v>25</v>
      </c>
      <c r="Y25" s="30" t="s">
        <v>168</v>
      </c>
      <c r="Z25" s="30" t="s">
        <v>169</v>
      </c>
      <c r="AA25" s="30" t="s">
        <v>170</v>
      </c>
      <c r="AB25" s="30" t="s">
        <v>171</v>
      </c>
      <c r="AC25" s="30" t="s">
        <v>104</v>
      </c>
    </row>
    <row r="26" spans="1:29" ht="11.25" hidden="1" customHeight="1" x14ac:dyDescent="0.2">
      <c r="B26" s="417" t="s">
        <v>28</v>
      </c>
      <c r="E26" s="417" t="s">
        <v>41</v>
      </c>
      <c r="G26" s="414" t="s">
        <v>224</v>
      </c>
      <c r="H26" s="415">
        <v>0.03</v>
      </c>
      <c r="I26" s="415">
        <v>0.03</v>
      </c>
      <c r="J26" s="415">
        <v>0.03</v>
      </c>
      <c r="K26" s="415">
        <v>0.03</v>
      </c>
      <c r="L26" s="415">
        <v>0.03</v>
      </c>
      <c r="W26" s="33" t="s">
        <v>207</v>
      </c>
      <c r="X26" s="34">
        <f>ROW()</f>
        <v>26</v>
      </c>
      <c r="Y26" s="30" t="s">
        <v>172</v>
      </c>
      <c r="Z26" s="30" t="s">
        <v>173</v>
      </c>
      <c r="AA26" s="30" t="s">
        <v>174</v>
      </c>
      <c r="AB26" s="30" t="s">
        <v>175</v>
      </c>
      <c r="AC26" s="30" t="s">
        <v>104</v>
      </c>
    </row>
    <row r="27" spans="1:29" ht="11.25" hidden="1" customHeight="1" x14ac:dyDescent="0.2">
      <c r="B27" s="417" t="s">
        <v>33</v>
      </c>
      <c r="E27" s="417" t="s">
        <v>256</v>
      </c>
      <c r="S27" s="444"/>
      <c r="W27" s="33" t="s">
        <v>207</v>
      </c>
      <c r="X27" s="34">
        <f>ROW()</f>
        <v>27</v>
      </c>
      <c r="Y27" s="30" t="s">
        <v>176</v>
      </c>
      <c r="Z27" s="30" t="s">
        <v>177</v>
      </c>
      <c r="AA27" s="30" t="s">
        <v>178</v>
      </c>
      <c r="AB27" s="30" t="s">
        <v>179</v>
      </c>
      <c r="AC27" s="30" t="s">
        <v>104</v>
      </c>
    </row>
    <row r="28" spans="1:29" ht="22.5" hidden="1" x14ac:dyDescent="0.2">
      <c r="B28" s="4"/>
      <c r="C28" s="4"/>
      <c r="W28" s="33" t="s">
        <v>207</v>
      </c>
      <c r="X28" s="34">
        <f>ROW()</f>
        <v>28</v>
      </c>
      <c r="Y28" s="30" t="s">
        <v>229</v>
      </c>
      <c r="Z28" s="30" t="s">
        <v>230</v>
      </c>
      <c r="AA28" s="30" t="s">
        <v>231</v>
      </c>
      <c r="AB28" s="30" t="s">
        <v>232</v>
      </c>
      <c r="AC28" s="30" t="s">
        <v>104</v>
      </c>
    </row>
    <row r="29" spans="1:29" ht="18" hidden="1" x14ac:dyDescent="0.2">
      <c r="B29" s="420" t="s">
        <v>63</v>
      </c>
      <c r="C29" s="420" t="s">
        <v>27</v>
      </c>
      <c r="G29" s="2" t="s">
        <v>299</v>
      </c>
      <c r="H29" s="484">
        <f>I29/1.16</f>
        <v>628448.27586206899</v>
      </c>
      <c r="I29" s="484">
        <v>729000</v>
      </c>
      <c r="W29" s="33" t="s">
        <v>207</v>
      </c>
      <c r="X29" s="34">
        <f>ROW()</f>
        <v>29</v>
      </c>
      <c r="Y29" s="30" t="s">
        <v>180</v>
      </c>
      <c r="Z29" s="30" t="s">
        <v>181</v>
      </c>
      <c r="AA29" s="30"/>
      <c r="AB29" s="30" t="s">
        <v>182</v>
      </c>
      <c r="AC29" s="30" t="s">
        <v>104</v>
      </c>
    </row>
    <row r="30" spans="1:29" hidden="1" x14ac:dyDescent="0.2">
      <c r="B30" s="419" t="s">
        <v>64</v>
      </c>
      <c r="C30" s="418">
        <v>3500</v>
      </c>
      <c r="G30" s="2" t="s">
        <v>309</v>
      </c>
      <c r="H30" s="484">
        <f t="shared" ref="H30:H33" si="5">I30/1.16</f>
        <v>719827.58620689658</v>
      </c>
      <c r="I30" s="484">
        <v>835000</v>
      </c>
      <c r="W30" s="33" t="s">
        <v>207</v>
      </c>
      <c r="X30" s="34">
        <f>ROW()</f>
        <v>30</v>
      </c>
      <c r="Y30" s="30" t="s">
        <v>183</v>
      </c>
      <c r="Z30" s="30" t="s">
        <v>184</v>
      </c>
      <c r="AA30" s="30" t="s">
        <v>185</v>
      </c>
      <c r="AB30" s="30" t="s">
        <v>186</v>
      </c>
      <c r="AC30" s="30" t="s">
        <v>116</v>
      </c>
    </row>
    <row r="31" spans="1:29" hidden="1" x14ac:dyDescent="0.2">
      <c r="A31" s="5"/>
      <c r="B31" s="419" t="s">
        <v>65</v>
      </c>
      <c r="C31" s="418">
        <v>10</v>
      </c>
      <c r="G31" s="2" t="s">
        <v>300</v>
      </c>
      <c r="H31" s="484">
        <f t="shared" si="5"/>
        <v>757662.06896551733</v>
      </c>
      <c r="I31" s="484">
        <v>878888</v>
      </c>
      <c r="W31" s="33" t="s">
        <v>207</v>
      </c>
      <c r="X31" s="34">
        <f>ROW()</f>
        <v>31</v>
      </c>
      <c r="Y31" s="30" t="s">
        <v>187</v>
      </c>
      <c r="Z31" s="30" t="s">
        <v>188</v>
      </c>
      <c r="AA31" s="30" t="s">
        <v>189</v>
      </c>
      <c r="AB31" s="30" t="s">
        <v>190</v>
      </c>
      <c r="AC31" s="30" t="s">
        <v>104</v>
      </c>
    </row>
    <row r="32" spans="1:29" hidden="1" x14ac:dyDescent="0.2">
      <c r="A32" s="5"/>
      <c r="B32" s="419" t="s">
        <v>66</v>
      </c>
      <c r="C32" s="418">
        <v>3500</v>
      </c>
      <c r="G32" s="2" t="s">
        <v>301</v>
      </c>
      <c r="H32" s="484">
        <f t="shared" si="5"/>
        <v>818965.51724137936</v>
      </c>
      <c r="I32" s="484">
        <v>950000</v>
      </c>
      <c r="W32" s="33" t="s">
        <v>207</v>
      </c>
      <c r="X32" s="34">
        <f>ROW()</f>
        <v>32</v>
      </c>
      <c r="Y32" s="30" t="s">
        <v>191</v>
      </c>
      <c r="Z32" s="30" t="s">
        <v>192</v>
      </c>
      <c r="AA32" s="30"/>
      <c r="AB32" s="30" t="s">
        <v>193</v>
      </c>
      <c r="AC32" s="30" t="s">
        <v>104</v>
      </c>
    </row>
    <row r="33" spans="1:29" hidden="1" x14ac:dyDescent="0.2">
      <c r="A33" s="5"/>
      <c r="B33" s="419" t="s">
        <v>67</v>
      </c>
      <c r="C33" s="418">
        <v>20</v>
      </c>
      <c r="G33" s="2" t="s">
        <v>310</v>
      </c>
      <c r="H33" s="484">
        <f t="shared" si="5"/>
        <v>991379.31034482771</v>
      </c>
      <c r="I33" s="484">
        <v>1150000</v>
      </c>
      <c r="W33" s="33" t="s">
        <v>207</v>
      </c>
      <c r="X33" s="34">
        <f>ROW()</f>
        <v>33</v>
      </c>
      <c r="Y33" s="30" t="s">
        <v>194</v>
      </c>
      <c r="Z33" s="30" t="s">
        <v>195</v>
      </c>
      <c r="AA33" s="30" t="s">
        <v>196</v>
      </c>
      <c r="AB33" s="30" t="s">
        <v>197</v>
      </c>
      <c r="AC33" s="30" t="s">
        <v>104</v>
      </c>
    </row>
    <row r="34" spans="1:29" ht="12.75" hidden="1" customHeight="1" x14ac:dyDescent="0.2">
      <c r="A34" s="5"/>
      <c r="B34" s="421"/>
      <c r="C34" s="422"/>
      <c r="W34" s="33" t="s">
        <v>207</v>
      </c>
      <c r="X34" s="34">
        <f>ROW()</f>
        <v>34</v>
      </c>
      <c r="Y34" s="30" t="s">
        <v>198</v>
      </c>
      <c r="Z34" s="30" t="s">
        <v>199</v>
      </c>
      <c r="AA34" s="30" t="s">
        <v>200</v>
      </c>
      <c r="AB34" s="30" t="s">
        <v>201</v>
      </c>
      <c r="AC34" s="30" t="s">
        <v>104</v>
      </c>
    </row>
    <row r="35" spans="1:29" ht="18.75" hidden="1" customHeight="1" x14ac:dyDescent="0.2">
      <c r="A35" s="5"/>
      <c r="B35" s="4"/>
      <c r="C35" s="4"/>
      <c r="W35" s="33" t="s">
        <v>207</v>
      </c>
      <c r="X35" s="34">
        <f>ROW()</f>
        <v>35</v>
      </c>
      <c r="Y35" s="30" t="s">
        <v>202</v>
      </c>
      <c r="Z35" s="30" t="s">
        <v>203</v>
      </c>
      <c r="AA35" s="30" t="s">
        <v>204</v>
      </c>
      <c r="AB35" s="30" t="s">
        <v>205</v>
      </c>
      <c r="AC35" s="30" t="s">
        <v>104</v>
      </c>
    </row>
    <row r="36" spans="1:29" ht="18" hidden="1" x14ac:dyDescent="0.2">
      <c r="A36" s="5"/>
      <c r="B36" s="737" t="s">
        <v>36</v>
      </c>
      <c r="C36" s="738"/>
    </row>
    <row r="37" spans="1:29" ht="12.75" hidden="1" customHeight="1" x14ac:dyDescent="0.2">
      <c r="B37" s="423">
        <v>15000000</v>
      </c>
      <c r="C37" s="412" t="s">
        <v>37</v>
      </c>
    </row>
    <row r="38" spans="1:29" ht="18" hidden="1" customHeight="1" x14ac:dyDescent="0.2">
      <c r="B38" s="423">
        <v>30000000</v>
      </c>
      <c r="C38" s="412" t="s">
        <v>37</v>
      </c>
    </row>
    <row r="39" spans="1:29" hidden="1" x14ac:dyDescent="0.2">
      <c r="B39" s="423">
        <v>100000000</v>
      </c>
      <c r="C39" s="412" t="s">
        <v>37</v>
      </c>
    </row>
    <row r="40" spans="1:29" hidden="1" x14ac:dyDescent="0.2">
      <c r="B40" s="4"/>
      <c r="C40" s="4"/>
      <c r="D40" s="4"/>
    </row>
    <row r="41" spans="1:29" hidden="1" x14ac:dyDescent="0.2">
      <c r="B41" s="4"/>
      <c r="C41" s="4"/>
      <c r="D41" s="4"/>
    </row>
    <row r="42" spans="1:29" hidden="1" x14ac:dyDescent="0.2">
      <c r="B42" s="4"/>
      <c r="C42" s="4"/>
      <c r="D42" s="4"/>
    </row>
    <row r="43" spans="1:29" ht="18.75" hidden="1" thickBot="1" x14ac:dyDescent="0.25">
      <c r="B43" s="737" t="s">
        <v>270</v>
      </c>
      <c r="C43" s="739"/>
      <c r="D43" s="4"/>
    </row>
    <row r="44" spans="1:29" hidden="1" x14ac:dyDescent="0.2">
      <c r="B44" s="424" t="s">
        <v>42</v>
      </c>
      <c r="C44" s="425" t="s">
        <v>43</v>
      </c>
      <c r="D44" s="31"/>
    </row>
    <row r="45" spans="1:29" hidden="1" x14ac:dyDescent="0.2">
      <c r="B45" s="426">
        <v>1</v>
      </c>
      <c r="C45" s="427" t="s">
        <v>44</v>
      </c>
    </row>
    <row r="46" spans="1:29" hidden="1" x14ac:dyDescent="0.2">
      <c r="B46" s="426">
        <v>2</v>
      </c>
      <c r="C46" s="427" t="s">
        <v>45</v>
      </c>
    </row>
    <row r="47" spans="1:29" hidden="1" x14ac:dyDescent="0.2">
      <c r="B47" s="426">
        <v>3</v>
      </c>
      <c r="C47" s="427" t="s">
        <v>46</v>
      </c>
      <c r="F47" s="4"/>
      <c r="G47" s="4"/>
      <c r="H47" s="4"/>
      <c r="I47" s="4"/>
      <c r="J47" s="4"/>
      <c r="K47" s="4"/>
    </row>
    <row r="48" spans="1:29" ht="18.75" hidden="1" customHeight="1" x14ac:dyDescent="0.2">
      <c r="B48" s="426" t="s">
        <v>71</v>
      </c>
      <c r="C48" s="431">
        <v>2</v>
      </c>
      <c r="G48" s="4"/>
      <c r="H48" s="4"/>
      <c r="I48" s="4"/>
      <c r="J48" s="4"/>
      <c r="K48" s="4"/>
    </row>
    <row r="49" spans="2:20" hidden="1" x14ac:dyDescent="0.2">
      <c r="B49" s="426"/>
      <c r="C49" s="428"/>
    </row>
    <row r="50" spans="2:20" hidden="1" x14ac:dyDescent="0.2">
      <c r="B50" s="426"/>
      <c r="C50" s="432" t="s">
        <v>47</v>
      </c>
      <c r="G50" s="4"/>
      <c r="H50" s="4"/>
      <c r="I50" s="4"/>
      <c r="J50" s="4"/>
      <c r="K50" s="4"/>
      <c r="L50" s="4"/>
    </row>
    <row r="51" spans="2:20" hidden="1" x14ac:dyDescent="0.2">
      <c r="B51" s="426"/>
      <c r="C51" s="433" t="str">
        <f>VLOOKUP(C48,B45:C47,2,FALSE)</f>
        <v>B66:AK128</v>
      </c>
    </row>
    <row r="52" spans="2:20" ht="12" hidden="1" thickBot="1" x14ac:dyDescent="0.25">
      <c r="B52" s="429"/>
      <c r="C52" s="430"/>
      <c r="M52" s="402"/>
      <c r="N52" s="402"/>
      <c r="O52" s="402"/>
      <c r="P52" s="402"/>
      <c r="Q52" s="402"/>
      <c r="R52" s="402"/>
      <c r="S52" s="402"/>
      <c r="T52" s="402"/>
    </row>
    <row r="53" spans="2:20" hidden="1" x14ac:dyDescent="0.2">
      <c r="M53" s="4"/>
      <c r="N53" s="4"/>
      <c r="O53" s="4"/>
      <c r="P53" s="4"/>
      <c r="Q53" s="4"/>
      <c r="R53" s="4"/>
      <c r="S53" s="4"/>
      <c r="T53" s="4"/>
    </row>
    <row r="54" spans="2:20" hidden="1" x14ac:dyDescent="0.2">
      <c r="L54" s="4"/>
      <c r="M54" s="4"/>
      <c r="N54" s="4"/>
      <c r="O54" s="4"/>
      <c r="P54" s="4"/>
      <c r="Q54" s="4"/>
      <c r="R54" s="4"/>
      <c r="S54" s="4"/>
      <c r="T54" s="4"/>
    </row>
    <row r="55" spans="2:20" hidden="1" x14ac:dyDescent="0.2"/>
    <row r="56" spans="2:20" hidden="1" x14ac:dyDescent="0.2"/>
    <row r="57" spans="2:20" hidden="1" x14ac:dyDescent="0.2"/>
    <row r="58" spans="2:20" hidden="1" x14ac:dyDescent="0.2"/>
    <row r="59" spans="2:20" hidden="1" x14ac:dyDescent="0.2"/>
    <row r="60" spans="2:20" hidden="1" x14ac:dyDescent="0.2"/>
    <row r="61" spans="2:20" hidden="1" x14ac:dyDescent="0.2"/>
    <row r="62" spans="2:20" hidden="1" x14ac:dyDescent="0.2"/>
    <row r="63" spans="2:20" hidden="1" x14ac:dyDescent="0.2"/>
    <row r="64" spans="2:20" hidden="1" x14ac:dyDescent="0.2"/>
    <row r="76" spans="12:20" ht="12" x14ac:dyDescent="0.2">
      <c r="L76" s="403"/>
      <c r="M76" s="403"/>
      <c r="N76" s="403"/>
      <c r="O76" s="403"/>
      <c r="P76" s="403"/>
      <c r="Q76" s="403"/>
      <c r="R76" s="403"/>
      <c r="S76" s="403"/>
      <c r="T76" s="403"/>
    </row>
    <row r="77" spans="12:20" ht="12" x14ac:dyDescent="0.2">
      <c r="L77" s="403"/>
      <c r="M77" s="403"/>
      <c r="N77" s="403"/>
      <c r="O77" s="403"/>
      <c r="P77" s="403"/>
      <c r="Q77" s="403"/>
      <c r="R77" s="403"/>
      <c r="S77" s="403"/>
      <c r="T77" s="403"/>
    </row>
  </sheetData>
  <sheetProtection password="8048" sheet="1" objects="1" scenarios="1"/>
  <autoFilter ref="W3:AC35">
    <sortState ref="W4:AC35">
      <sortCondition ref="Y3:Y35"/>
    </sortState>
  </autoFilter>
  <sortState ref="G6:G19">
    <sortCondition ref="G6"/>
  </sortState>
  <mergeCells count="6">
    <mergeCell ref="N3:R3"/>
    <mergeCell ref="H3:L3"/>
    <mergeCell ref="G24:L24"/>
    <mergeCell ref="B36:C36"/>
    <mergeCell ref="B43:C43"/>
    <mergeCell ref="G19:L19"/>
  </mergeCells>
  <phoneticPr fontId="0" type="noConversion"/>
  <hyperlinks>
    <hyperlink ref="AB13" r:id="rId1" display="mailto:cesar.ruiz@banregio.com"/>
    <hyperlink ref="AB32" r:id="rId2" display="mailto:ricardo.cajiga@banregio.com"/>
    <hyperlink ref="AB28" r:id="rId3" display="mailto:monica.simon@banregio.com"/>
    <hyperlink ref="AB23" r:id="rId4" display="mailto:jonathan.garcia@banregio.com"/>
    <hyperlink ref="AB4" r:id="rId5" display="mailto:alejandro.delrosal@banregio.com"/>
    <hyperlink ref="AB25" r:id="rId6"/>
    <hyperlink ref="AB33" r:id="rId7" display="ricardo.velazquez@banregio.com"/>
    <hyperlink ref="AB16" r:id="rId8" display="mailto:gisela.lopez@banregio.com"/>
    <hyperlink ref="AB6" r:id="rId9" display="mailto:alfonso.labandeira@banregio.com"/>
    <hyperlink ref="AB17" r:id="rId10"/>
  </hyperlinks>
  <pageMargins left="0.7" right="0.7" top="0.75" bottom="0.75" header="0.3" footer="0.3"/>
  <pageSetup scale="44" orientation="portrait" r:id="rId11"/>
  <colBreaks count="1" manualBreakCount="1">
    <brk id="19" max="1048575" man="1"/>
  </col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252</vt:i4>
      </vt:variant>
    </vt:vector>
  </HeadingPairs>
  <TitlesOfParts>
    <vt:vector size="256" baseType="lpstr">
      <vt:lpstr>enterprise</vt:lpstr>
      <vt:lpstr>Propuesta</vt:lpstr>
      <vt:lpstr>COTIZACION</vt:lpstr>
      <vt:lpstr>Catalogos</vt:lpstr>
      <vt:lpstr>enterprise!Área_de_impresión</vt:lpstr>
      <vt:lpstr>Cat_Ejecutivos</vt:lpstr>
      <vt:lpstr>Cat_Moneda</vt:lpstr>
      <vt:lpstr>Cat_Montos_Tir_Minima</vt:lpstr>
      <vt:lpstr>cat_montoTasa_1</vt:lpstr>
      <vt:lpstr>cat_montoTasa_2</vt:lpstr>
      <vt:lpstr>cat_montoTasa_3</vt:lpstr>
      <vt:lpstr>Cat_productos</vt:lpstr>
      <vt:lpstr>Cat_PuntosAddRes</vt:lpstr>
      <vt:lpstr>Cat_Ratificacion</vt:lpstr>
      <vt:lpstr>Cat_ResPonderado</vt:lpstr>
      <vt:lpstr>cat_tirminplazomn</vt:lpstr>
      <vt:lpstr>cat_tirminplazous</vt:lpstr>
      <vt:lpstr>Etiq_ComisionAperP</vt:lpstr>
      <vt:lpstr>Etiq_Plazo</vt:lpstr>
      <vt:lpstr>Etiq_RentaDepP</vt:lpstr>
      <vt:lpstr>Etiq_RentaP</vt:lpstr>
      <vt:lpstr>Etiq_Seguro</vt:lpstr>
      <vt:lpstr>Field_AreaBusqueda</vt:lpstr>
      <vt:lpstr>Field_BlindD_Monto_Puro_1</vt:lpstr>
      <vt:lpstr>Field_BlindD_Monto_Puro_2</vt:lpstr>
      <vt:lpstr>Field_BlindD_Monto_Puro_3</vt:lpstr>
      <vt:lpstr>Field_BlindD_Monto_Puro_4</vt:lpstr>
      <vt:lpstr>Field_BlindD_Monto_Puro_5</vt:lpstr>
      <vt:lpstr>Field_BlindDFin_1</vt:lpstr>
      <vt:lpstr>Field_BlindDFin_2</vt:lpstr>
      <vt:lpstr>Field_BlindDFin_3</vt:lpstr>
      <vt:lpstr>Field_BlindDFin_4</vt:lpstr>
      <vt:lpstr>Field_BlindDFin_5</vt:lpstr>
      <vt:lpstr>Field_BlindDMonto_F1</vt:lpstr>
      <vt:lpstr>Field_BlindDMonto_F2</vt:lpstr>
      <vt:lpstr>Field_BlindDMonto_F3</vt:lpstr>
      <vt:lpstr>Field_BlindDMonto_F4</vt:lpstr>
      <vt:lpstr>Field_BlindDMonto_F5</vt:lpstr>
      <vt:lpstr>Field_BlindDPc_1</vt:lpstr>
      <vt:lpstr>Field_BlindDPc_2</vt:lpstr>
      <vt:lpstr>Field_BlindDPc_3</vt:lpstr>
      <vt:lpstr>Field_BlindDPc_4</vt:lpstr>
      <vt:lpstr>Field_BlindDPc_5</vt:lpstr>
      <vt:lpstr>Field_BolCalcula</vt:lpstr>
      <vt:lpstr>Field_Cliente</vt:lpstr>
      <vt:lpstr>Field_ComisionAp_F1</vt:lpstr>
      <vt:lpstr>Field_ComisionAp_F2</vt:lpstr>
      <vt:lpstr>Field_ComisionAp_F3</vt:lpstr>
      <vt:lpstr>Field_ComisionAp_F4</vt:lpstr>
      <vt:lpstr>Field_ComisionAp_F5</vt:lpstr>
      <vt:lpstr>Field_ComisionAp_P1</vt:lpstr>
      <vt:lpstr>Field_ComisionAp_P2</vt:lpstr>
      <vt:lpstr>Field_ComisionAp_P3</vt:lpstr>
      <vt:lpstr>Field_ComisionAp_P4</vt:lpstr>
      <vt:lpstr>Field_ComisionAp_P5</vt:lpstr>
      <vt:lpstr>Field_ComisionAp_S1</vt:lpstr>
      <vt:lpstr>Field_ComisionAp_S2</vt:lpstr>
      <vt:lpstr>Field_ComisionAp_S3</vt:lpstr>
      <vt:lpstr>Field_ComisionAp_S4</vt:lpstr>
      <vt:lpstr>Field_ComisionAp_S5</vt:lpstr>
      <vt:lpstr>Field_Contacto</vt:lpstr>
      <vt:lpstr>Field_Ejecutivo</vt:lpstr>
      <vt:lpstr>Field_Enganche_Monto_F1</vt:lpstr>
      <vt:lpstr>Field_Enganche_Monto_F2</vt:lpstr>
      <vt:lpstr>Field_Enganche_Monto_F3</vt:lpstr>
      <vt:lpstr>Field_Enganche_Monto_F4</vt:lpstr>
      <vt:lpstr>Field_Enganche_Monto_F5</vt:lpstr>
      <vt:lpstr>Field_Enganche_Monto_Puro_1</vt:lpstr>
      <vt:lpstr>Field_Enganche_Monto_Puro_2</vt:lpstr>
      <vt:lpstr>Field_Enganche_Monto_Puro_3</vt:lpstr>
      <vt:lpstr>Field_Enganche_Monto_Puro_4</vt:lpstr>
      <vt:lpstr>Field_Enganche_Monto_Puro_5</vt:lpstr>
      <vt:lpstr>Field_Enganche_Monto_S1</vt:lpstr>
      <vt:lpstr>Field_Enganche_Monto_S2</vt:lpstr>
      <vt:lpstr>Field_Enganche_Monto_S3</vt:lpstr>
      <vt:lpstr>Field_Enganche_Monto_S4</vt:lpstr>
      <vt:lpstr>Field_Enganche_Monto_S5</vt:lpstr>
      <vt:lpstr>Field_Enganche_Porc_Fin_1</vt:lpstr>
      <vt:lpstr>Field_Enganche_Porc_Fin_2</vt:lpstr>
      <vt:lpstr>Field_Enganche_Porc_Fin_3</vt:lpstr>
      <vt:lpstr>Field_Enganche_Porc_Fin_4</vt:lpstr>
      <vt:lpstr>Field_Enganche_Porc_Fin_5</vt:lpstr>
      <vt:lpstr>Field_Enganche_Porc_Puro_1</vt:lpstr>
      <vt:lpstr>Field_Enganche_Porc_Puro_2</vt:lpstr>
      <vt:lpstr>Field_Enganche_Porc_Puro_3</vt:lpstr>
      <vt:lpstr>Field_Enganche_Porc_Puro_4</vt:lpstr>
      <vt:lpstr>Field_Enganche_Porc_Puro_5</vt:lpstr>
      <vt:lpstr>Field_Enganche_Simple_1</vt:lpstr>
      <vt:lpstr>Field_Enganche_Simple_2</vt:lpstr>
      <vt:lpstr>Field_Enganche_Simple_3</vt:lpstr>
      <vt:lpstr>Field_Enganche_Simple_4</vt:lpstr>
      <vt:lpstr>Field_Enganche_Simple_5</vt:lpstr>
      <vt:lpstr>Field_Equipo</vt:lpstr>
      <vt:lpstr>field_equipo_1</vt:lpstr>
      <vt:lpstr>field_equipo_2</vt:lpstr>
      <vt:lpstr>field_equipo_3</vt:lpstr>
      <vt:lpstr>field_equipo_4</vt:lpstr>
      <vt:lpstr>field_equipo_5</vt:lpstr>
      <vt:lpstr>Field_EquipoMontoTotal</vt:lpstr>
      <vt:lpstr>Field_EquipoMontoTotal_masIVA</vt:lpstr>
      <vt:lpstr>Field_FactorRta_P1</vt:lpstr>
      <vt:lpstr>Field_FactorRta_P2</vt:lpstr>
      <vt:lpstr>Field_FactorRta_P3</vt:lpstr>
      <vt:lpstr>Field_FactorRta_P4</vt:lpstr>
      <vt:lpstr>Field_FactorRta_P5</vt:lpstr>
      <vt:lpstr>Field_FullPayOut</vt:lpstr>
      <vt:lpstr>Field_Moneda</vt:lpstr>
      <vt:lpstr>Field_MonEq</vt:lpstr>
      <vt:lpstr>Field_MontoFinanciar_F1</vt:lpstr>
      <vt:lpstr>Field_MontoFinanciar_F2</vt:lpstr>
      <vt:lpstr>Field_MontoFinanciar_F3</vt:lpstr>
      <vt:lpstr>Field_MontoFinanciar_F4</vt:lpstr>
      <vt:lpstr>Field_MontoFinanciar_F5</vt:lpstr>
      <vt:lpstr>Field_MontoFinanciar_P1</vt:lpstr>
      <vt:lpstr>Field_MontoFinanciar_P2</vt:lpstr>
      <vt:lpstr>Field_MontoFinanciar_P3</vt:lpstr>
      <vt:lpstr>Field_MontoFinanciar_P4</vt:lpstr>
      <vt:lpstr>Field_MontoFinanciar_P5</vt:lpstr>
      <vt:lpstr>Field_MontoFinanciar_S1</vt:lpstr>
      <vt:lpstr>Field_MontoFinanciar_S2</vt:lpstr>
      <vt:lpstr>Field_MontoFinanciar_S3</vt:lpstr>
      <vt:lpstr>Field_MontoFinanciar_S4</vt:lpstr>
      <vt:lpstr>Field_MontoFinanciar_S5</vt:lpstr>
      <vt:lpstr>Field_Msg</vt:lpstr>
      <vt:lpstr>Field_Num_PlazosSel</vt:lpstr>
      <vt:lpstr>field_NumPlazosSel</vt:lpstr>
      <vt:lpstr>Field_OpcionCompra_F1</vt:lpstr>
      <vt:lpstr>Field_OpcionCompra_F2</vt:lpstr>
      <vt:lpstr>Field_OpcionCompra_F3</vt:lpstr>
      <vt:lpstr>Field_OpcionCompra_F4</vt:lpstr>
      <vt:lpstr>Field_OpcionCompra_F5</vt:lpstr>
      <vt:lpstr>Field_orden_Plazo_1</vt:lpstr>
      <vt:lpstr>Field_orden_Plazo_2</vt:lpstr>
      <vt:lpstr>Field_orden_Plazo_3</vt:lpstr>
      <vt:lpstr>Field_orden_Plazo_4</vt:lpstr>
      <vt:lpstr>Field_orden_Plazo_5</vt:lpstr>
      <vt:lpstr>Field_Plazo_Sel_1</vt:lpstr>
      <vt:lpstr>Field_Plazo_Sel_2</vt:lpstr>
      <vt:lpstr>Field_Plazo_Sel_3</vt:lpstr>
      <vt:lpstr>Field_Plazo_Sel_4</vt:lpstr>
      <vt:lpstr>Field_Plazo_Sel_5</vt:lpstr>
      <vt:lpstr>Field_Plazo1</vt:lpstr>
      <vt:lpstr>Field_Plazo2</vt:lpstr>
      <vt:lpstr>Field_Plazo3</vt:lpstr>
      <vt:lpstr>Field_Plazo4</vt:lpstr>
      <vt:lpstr>Field_Plazo5</vt:lpstr>
      <vt:lpstr>Field_PorcentajeIVA</vt:lpstr>
      <vt:lpstr>Field_Pos_1</vt:lpstr>
      <vt:lpstr>Field_Pos_2</vt:lpstr>
      <vt:lpstr>Field_Pos_3</vt:lpstr>
      <vt:lpstr>Field_ProductoFinanciero</vt:lpstr>
      <vt:lpstr>Field_ProductoPuro</vt:lpstr>
      <vt:lpstr>Field_RatificacionFinanciero</vt:lpstr>
      <vt:lpstr>Field_RatificacionPuro</vt:lpstr>
      <vt:lpstr>Field_RatificacionSimple</vt:lpstr>
      <vt:lpstr>Field_Renta_F1</vt:lpstr>
      <vt:lpstr>Field_Renta_F2</vt:lpstr>
      <vt:lpstr>Field_Renta_F3</vt:lpstr>
      <vt:lpstr>Field_Renta_F4</vt:lpstr>
      <vt:lpstr>Field_Renta_F5</vt:lpstr>
      <vt:lpstr>Field_Renta_P1</vt:lpstr>
      <vt:lpstr>Field_Renta_P2</vt:lpstr>
      <vt:lpstr>Field_Renta_P3</vt:lpstr>
      <vt:lpstr>Field_Renta_P4</vt:lpstr>
      <vt:lpstr>Field_Renta_P5</vt:lpstr>
      <vt:lpstr>Field_Renta_S1</vt:lpstr>
      <vt:lpstr>Field_Renta_S2</vt:lpstr>
      <vt:lpstr>Field_Renta_S3</vt:lpstr>
      <vt:lpstr>Field_Renta_S4</vt:lpstr>
      <vt:lpstr>Field_Renta_S5</vt:lpstr>
      <vt:lpstr>Field_RentasDep_1</vt:lpstr>
      <vt:lpstr>Field_RentasDep_2</vt:lpstr>
      <vt:lpstr>Field_RentasDep_3</vt:lpstr>
      <vt:lpstr>Field_RentasDep_4</vt:lpstr>
      <vt:lpstr>Field_RentasDep_5</vt:lpstr>
      <vt:lpstr>Field_RentasDep_F1</vt:lpstr>
      <vt:lpstr>Field_RentasDep_F2</vt:lpstr>
      <vt:lpstr>Field_RentasDep_F3</vt:lpstr>
      <vt:lpstr>Field_RentasDep_F4</vt:lpstr>
      <vt:lpstr>Field_RentasDep_F5</vt:lpstr>
      <vt:lpstr>Field_ResGar</vt:lpstr>
      <vt:lpstr>Field_Residual_1</vt:lpstr>
      <vt:lpstr>Field_Residual_2</vt:lpstr>
      <vt:lpstr>Field_Residual_3</vt:lpstr>
      <vt:lpstr>Field_Residual_4</vt:lpstr>
      <vt:lpstr>Field_Residual_5</vt:lpstr>
      <vt:lpstr>Field_ResidualCte_1</vt:lpstr>
      <vt:lpstr>Field_ResidualCte_2</vt:lpstr>
      <vt:lpstr>Field_ResidualCte_3</vt:lpstr>
      <vt:lpstr>Field_ResidualCte_4</vt:lpstr>
      <vt:lpstr>Field_ResidualCte_5</vt:lpstr>
      <vt:lpstr>Field_ResidualVal_1</vt:lpstr>
      <vt:lpstr>Field_ResidualVal_2</vt:lpstr>
      <vt:lpstr>Field_ResidualVal_3</vt:lpstr>
      <vt:lpstr>Field_ResidualVal_4</vt:lpstr>
      <vt:lpstr>Field_ResidualVal_5</vt:lpstr>
      <vt:lpstr>Field_ResidualValcte_1</vt:lpstr>
      <vt:lpstr>Field_ResidualValcte_2</vt:lpstr>
      <vt:lpstr>Field_ResidualValcte_3</vt:lpstr>
      <vt:lpstr>Field_ResidualValcte_4</vt:lpstr>
      <vt:lpstr>Field_ResidualValcte_5</vt:lpstr>
      <vt:lpstr>Field_Seguro1</vt:lpstr>
      <vt:lpstr>Field_Seguro2</vt:lpstr>
      <vt:lpstr>Field_Seguro3</vt:lpstr>
      <vt:lpstr>Field_Seguro4</vt:lpstr>
      <vt:lpstr>Field_Seguro5</vt:lpstr>
      <vt:lpstr>Field_TasaEfec_Fin_1</vt:lpstr>
      <vt:lpstr>Field_TasaEfec_Fin_2</vt:lpstr>
      <vt:lpstr>Field_TasaEfec_Fin_3</vt:lpstr>
      <vt:lpstr>Field_TasaEfec_Fin_4</vt:lpstr>
      <vt:lpstr>Field_TasaEfec_Fin_5</vt:lpstr>
      <vt:lpstr>Field_TasaEfec_Puro_1</vt:lpstr>
      <vt:lpstr>Field_TasaEfec_Puro_2</vt:lpstr>
      <vt:lpstr>Field_TasaEfec_Puro_3</vt:lpstr>
      <vt:lpstr>Field_TasaEfec_Puro_4</vt:lpstr>
      <vt:lpstr>Field_TasaEfec_Puro_5</vt:lpstr>
      <vt:lpstr>Field_TasaEfec_Sim_1</vt:lpstr>
      <vt:lpstr>Field_TasaEfec_Sim_2</vt:lpstr>
      <vt:lpstr>Field_TasaEfec_Sim_3</vt:lpstr>
      <vt:lpstr>Field_TasaEfec_Sim_4</vt:lpstr>
      <vt:lpstr>Field_TasaEfec_Sim_5</vt:lpstr>
      <vt:lpstr>Field_TasaMin_fin_1</vt:lpstr>
      <vt:lpstr>Field_TasaMin_fin_2</vt:lpstr>
      <vt:lpstr>Field_TasaMin_fin_3</vt:lpstr>
      <vt:lpstr>Field_TasaMin_fin_4</vt:lpstr>
      <vt:lpstr>Field_TasaMin_fin_5</vt:lpstr>
      <vt:lpstr>Field_TasaMin_Puro_1</vt:lpstr>
      <vt:lpstr>Field_TasaMin_Puro_2</vt:lpstr>
      <vt:lpstr>Field_TasaMin_Puro_3</vt:lpstr>
      <vt:lpstr>Field_TasaMin_Puro_4</vt:lpstr>
      <vt:lpstr>Field_TasaMin_Puro_5</vt:lpstr>
      <vt:lpstr>Field_TasaMin_S1</vt:lpstr>
      <vt:lpstr>Field_TasaMin_S2</vt:lpstr>
      <vt:lpstr>Field_TasaMin_S3</vt:lpstr>
      <vt:lpstr>Field_TasaMin_S4</vt:lpstr>
      <vt:lpstr>Field_TasaMin_S5</vt:lpstr>
      <vt:lpstr>Field_TasaNom_Fin_1</vt:lpstr>
      <vt:lpstr>Field_TasaNom_Fin_2</vt:lpstr>
      <vt:lpstr>Field_TasaNom_Fin_3</vt:lpstr>
      <vt:lpstr>Field_TasaNom_Fin_4</vt:lpstr>
      <vt:lpstr>Field_TasaNom_Fin_5</vt:lpstr>
      <vt:lpstr>Field_TasaNom_Puro_1</vt:lpstr>
      <vt:lpstr>Field_TasaNom_Puro_2</vt:lpstr>
      <vt:lpstr>Field_TasaNom_Puro_3</vt:lpstr>
      <vt:lpstr>Field_TasaNom_Puro_4</vt:lpstr>
      <vt:lpstr>Field_TasaNom_Puro_5</vt:lpstr>
      <vt:lpstr>Field_TasaNom_Sim_1</vt:lpstr>
      <vt:lpstr>Field_TasaNom_Sim_2</vt:lpstr>
      <vt:lpstr>Field_TasaNom_Sim_3</vt:lpstr>
      <vt:lpstr>Field_TasaNom_Sim_4</vt:lpstr>
      <vt:lpstr>Field_TasaNom_Sim_5</vt:lpstr>
      <vt:lpstr>Field_TC</vt:lpstr>
      <vt:lpstr>Field_TipoEquipo</vt:lpstr>
      <vt:lpstr>List_Equipos</vt:lpstr>
      <vt:lpstr>Rango_DatosPuro</vt:lpstr>
      <vt:lpstr>Rango_OrdenPlazos</vt:lpstr>
    </vt:vector>
  </TitlesOfParts>
  <Company>CIT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paz</dc:creator>
  <cp:lastModifiedBy>Beatriz Mayorga Sanchez</cp:lastModifiedBy>
  <cp:lastPrinted>2019-08-27T15:44:41Z</cp:lastPrinted>
  <dcterms:created xsi:type="dcterms:W3CDTF">2010-07-21T21:09:10Z</dcterms:created>
  <dcterms:modified xsi:type="dcterms:W3CDTF">2021-02-16T18:11:54Z</dcterms:modified>
</cp:coreProperties>
</file>